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D:\PROJET MAQUETTES MESURES\BANC PAP\mesures beta MPAP BANC PAP\"/>
    </mc:Choice>
  </mc:AlternateContent>
  <xr:revisionPtr revIDLastSave="0" documentId="13_ncr:1_{82DDD1E6-BF77-42C8-920F-C5513E5BABE2}" xr6:coauthVersionLast="40" xr6:coauthVersionMax="40" xr10:uidLastSave="{00000000-0000-0000-0000-000000000000}"/>
  <bookViews>
    <workbookView xWindow="0" yWindow="0" windowWidth="28800" windowHeight="12375" tabRatio="849" activeTab="2" xr2:uid="{40270493-4A16-4421-8DEC-B66102796561}"/>
  </bookViews>
  <sheets>
    <sheet name="Données constructeur" sheetId="3" r:id="rId1"/>
    <sheet name="Détermination de R et L" sheetId="1" r:id="rId2"/>
    <sheet name="Détermination de k (méca) et Cm" sheetId="5" r:id="rId3"/>
    <sheet name="Paramétrage et simulation 1" sheetId="4" r:id="rId4"/>
    <sheet name="Détermination de f et Cfs" sheetId="6" r:id="rId5"/>
    <sheet name="Paramétrage et simulation 2" sheetId="7" r:id="rId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7" l="1"/>
  <c r="F16" i="7"/>
  <c r="D61" i="6" l="1"/>
  <c r="D60" i="6"/>
  <c r="K63" i="6"/>
  <c r="J63" i="6"/>
  <c r="H57" i="6"/>
  <c r="F57" i="6"/>
  <c r="G57" i="6" s="1"/>
  <c r="H56" i="6"/>
  <c r="G56" i="6"/>
  <c r="F56" i="6"/>
  <c r="H55" i="6"/>
  <c r="F55" i="6"/>
  <c r="G55" i="6" s="1"/>
  <c r="H54" i="6"/>
  <c r="F54" i="6"/>
  <c r="G54" i="6" s="1"/>
  <c r="H53" i="6"/>
  <c r="F53" i="6"/>
  <c r="G53" i="6" s="1"/>
  <c r="H52" i="6"/>
  <c r="F52" i="6"/>
  <c r="G52" i="6" s="1"/>
  <c r="E45" i="6"/>
  <c r="F27" i="6" l="1"/>
  <c r="G27" i="6" s="1"/>
  <c r="H27" i="6"/>
  <c r="H26" i="6"/>
  <c r="F26" i="6"/>
  <c r="G26" i="6" s="1"/>
  <c r="F24" i="6"/>
  <c r="G24" i="6" s="1"/>
  <c r="F25" i="6"/>
  <c r="G25" i="6" s="1"/>
  <c r="H24" i="6"/>
  <c r="H25" i="6"/>
  <c r="D20" i="5" l="1"/>
  <c r="E20" i="5" s="1"/>
  <c r="F20" i="5" s="1"/>
  <c r="D21" i="5"/>
  <c r="E21" i="5" s="1"/>
  <c r="F21" i="5" s="1"/>
  <c r="D22" i="5"/>
  <c r="E22" i="5" s="1"/>
  <c r="F22" i="5" s="1"/>
  <c r="D23" i="5"/>
  <c r="D24" i="5"/>
  <c r="E23" i="5"/>
  <c r="F23" i="5" s="1"/>
  <c r="E24" i="5"/>
  <c r="F24" i="5" s="1"/>
  <c r="H23" i="6"/>
  <c r="H22" i="6"/>
  <c r="F23" i="6" l="1"/>
  <c r="G23" i="6" s="1"/>
  <c r="F22" i="6" l="1"/>
  <c r="G22" i="6" s="1"/>
  <c r="B14" i="5" l="1"/>
  <c r="D31" i="7" l="1"/>
  <c r="F23" i="7" l="1"/>
  <c r="F38" i="7" l="1"/>
  <c r="G38" i="7" s="1"/>
  <c r="C24" i="7"/>
  <c r="C17" i="7"/>
  <c r="C22" i="4" l="1"/>
  <c r="C15" i="4"/>
  <c r="E14" i="5"/>
  <c r="L31" i="6" l="1"/>
  <c r="D31" i="6" s="1"/>
  <c r="D39" i="6" s="1"/>
  <c r="K31" i="6"/>
  <c r="D30" i="6" s="1"/>
  <c r="D40" i="6" s="1"/>
  <c r="D19" i="5"/>
  <c r="C14" i="5"/>
  <c r="G25" i="1"/>
  <c r="F25" i="1"/>
  <c r="J13" i="3"/>
  <c r="H13" i="3"/>
  <c r="H17" i="7" s="1"/>
  <c r="E13" i="3"/>
  <c r="C13" i="3"/>
  <c r="D25" i="1"/>
  <c r="D16" i="7" s="1"/>
  <c r="C25" i="1"/>
  <c r="C16" i="7" s="1"/>
  <c r="D42" i="6" l="1"/>
  <c r="E46" i="6" s="1"/>
  <c r="H16" i="7" s="1"/>
  <c r="D33" i="6"/>
  <c r="D34" i="6"/>
  <c r="C14" i="4"/>
  <c r="D14" i="4"/>
  <c r="C21" i="4"/>
  <c r="C23" i="7"/>
  <c r="D15" i="4"/>
  <c r="D17" i="7"/>
  <c r="D22" i="4"/>
  <c r="L13" i="3"/>
  <c r="E17" i="7" s="1"/>
  <c r="F29" i="5"/>
  <c r="C29" i="5"/>
  <c r="D21" i="4" s="1"/>
  <c r="D32" i="4" s="1"/>
  <c r="E19" i="5"/>
  <c r="F19" i="5" s="1"/>
  <c r="E15" i="4" l="1"/>
  <c r="G29" i="5"/>
  <c r="D29" i="5"/>
  <c r="E14" i="4" l="1"/>
  <c r="E16" i="7"/>
</calcChain>
</file>

<file path=xl/sharedStrings.xml><?xml version="1.0" encoding="utf-8"?>
<sst xmlns="http://schemas.openxmlformats.org/spreadsheetml/2006/main" count="218" uniqueCount="114">
  <si>
    <t>Inductance et résistance par enroulement</t>
  </si>
  <si>
    <t>Inductance</t>
  </si>
  <si>
    <t>Résistance</t>
  </si>
  <si>
    <t>mH</t>
  </si>
  <si>
    <t>Ohms</t>
  </si>
  <si>
    <t>Moyenne</t>
  </si>
  <si>
    <t>mesure n°</t>
  </si>
  <si>
    <t>R</t>
  </si>
  <si>
    <t>L</t>
  </si>
  <si>
    <t>H</t>
  </si>
  <si>
    <t>Nbr de pas</t>
  </si>
  <si>
    <t>pas/tr</t>
  </si>
  <si>
    <t>Paires de pôles</t>
  </si>
  <si>
    <t>Ω</t>
  </si>
  <si>
    <t>g.cm²</t>
  </si>
  <si>
    <t>kg.m²</t>
  </si>
  <si>
    <t>C maintien</t>
  </si>
  <si>
    <t>N.cm</t>
  </si>
  <si>
    <t>N.m</t>
  </si>
  <si>
    <t>Inertie</t>
  </si>
  <si>
    <t>rad/s</t>
  </si>
  <si>
    <t>tr/min</t>
  </si>
  <si>
    <t>Facteur k</t>
  </si>
  <si>
    <t>k</t>
  </si>
  <si>
    <t>V.s ou N.m/A</t>
  </si>
  <si>
    <t>A</t>
  </si>
  <si>
    <t>Paramètres du moteur PAP</t>
  </si>
  <si>
    <t>Paramètrage de la simulation</t>
  </si>
  <si>
    <t>I</t>
  </si>
  <si>
    <t>Alimentation</t>
  </si>
  <si>
    <t>mm</t>
  </si>
  <si>
    <t>Masse suspendue</t>
  </si>
  <si>
    <t>g</t>
  </si>
  <si>
    <t>pour les deux phases</t>
  </si>
  <si>
    <t>par phase</t>
  </si>
  <si>
    <t xml:space="preserve">Résultats de la simulation </t>
  </si>
  <si>
    <t>Tx d'erreur / réel</t>
  </si>
  <si>
    <t>Facteur k théorique</t>
  </si>
  <si>
    <t>Paramètre de simulation</t>
  </si>
  <si>
    <t>Rappel données constr.</t>
  </si>
  <si>
    <t>p</t>
  </si>
  <si>
    <t xml:space="preserve">Courant consommé </t>
  </si>
  <si>
    <t>kg</t>
  </si>
  <si>
    <t>Distance limite avant mouvement</t>
  </si>
  <si>
    <t>Données constructeur</t>
  </si>
  <si>
    <t>I total pour 2 phases</t>
  </si>
  <si>
    <t>C maintien (2 phases)</t>
  </si>
  <si>
    <t>k par  phase</t>
  </si>
  <si>
    <t>R par phase</t>
  </si>
  <si>
    <t>I par phase</t>
  </si>
  <si>
    <t>Inductance par phase</t>
  </si>
  <si>
    <t>Résistance par phase</t>
  </si>
  <si>
    <t>Courant par phase</t>
  </si>
  <si>
    <t>Enroulement A (phase A)</t>
  </si>
  <si>
    <t>Enroulement B (phase B)</t>
  </si>
  <si>
    <t>N.m.s</t>
  </si>
  <si>
    <t>f</t>
  </si>
  <si>
    <t>Cfs</t>
  </si>
  <si>
    <t>b</t>
  </si>
  <si>
    <t>a</t>
  </si>
  <si>
    <t>volts</t>
  </si>
  <si>
    <t>ωred</t>
  </si>
  <si>
    <t>Nred = Npap</t>
  </si>
  <si>
    <t>U</t>
  </si>
  <si>
    <t>Mesures tensions, courants et fréq. de rotation du moteur MCC</t>
  </si>
  <si>
    <t>J motoréd./axe</t>
  </si>
  <si>
    <t>N.m/A</t>
  </si>
  <si>
    <t>(issues des mesures sur le banc MCC)</t>
  </si>
  <si>
    <t>J</t>
  </si>
  <si>
    <t>Torque ou couple 
(2 phases alimentées)</t>
  </si>
  <si>
    <t>Couple de maintien</t>
  </si>
  <si>
    <t>par  phase</t>
  </si>
  <si>
    <t>temps entre pas</t>
  </si>
  <si>
    <t>C de décrochage</t>
  </si>
  <si>
    <t>Résultats de mesure sur banc</t>
  </si>
  <si>
    <t>angle de décrochage</t>
  </si>
  <si>
    <t>masse</t>
  </si>
  <si>
    <t>°</t>
  </si>
  <si>
    <t>%</t>
  </si>
  <si>
    <t>bras de levier</t>
  </si>
  <si>
    <t>m</t>
  </si>
  <si>
    <t xml:space="preserve">Mesure à faire sur chaques enroulements (phases) du moteur PAP.
Matériel nécessaire :
- un Henrymètre
- un Ohmètre
Rq : s'il manque un matériel de mesure, prendre les valeurs données par le constructeur. 
Les cases vertes sont à compléter, les cases oranges sont calculées automatiquement et les bleues sont le rappel de l'onglet données constructeur.
</t>
  </si>
  <si>
    <t>ms</t>
  </si>
  <si>
    <t>s</t>
  </si>
  <si>
    <t xml:space="preserve"> </t>
  </si>
  <si>
    <t>Courant d'alimentation</t>
  </si>
  <si>
    <t xml:space="preserve">Couple minimal à atteindre </t>
  </si>
  <si>
    <t>kg.cm</t>
  </si>
  <si>
    <t>x pas</t>
  </si>
  <si>
    <t>Nombre de pas de la simulation</t>
  </si>
  <si>
    <t>temps total de la simulation (x pas)</t>
  </si>
  <si>
    <t>Caractéristiques Motoréducteur</t>
  </si>
  <si>
    <t>Nred</t>
  </si>
  <si>
    <t xml:space="preserve">A partir de la documentation du construsteur, compléter le tableau ci-dessous.
Les cases vertes sont à compléter, les cases oranges sont calculées automatiquement.
</t>
  </si>
  <si>
    <r>
      <t xml:space="preserve">Rentrer les paramètres ci-dessous dans la modélisation suivante :
"modélisation PAP couple de maintien.zcos"
Lancer la simulation afin de déterminer graphiquement le couple de maintien.
Reporter le résultat dans la case ci-dessous, le taux d'erreur est calculé par rapport à la valeur réelle calculée à l'étape précedente.
Remarque : </t>
    </r>
    <r>
      <rPr>
        <sz val="11"/>
        <color rgb="FFFF0000"/>
        <rFont val="Calibri"/>
        <family val="2"/>
        <scheme val="minor"/>
      </rPr>
      <t>f et Cfs sont inutiles à cette étape car étude statique du moteur PAP</t>
    </r>
  </si>
  <si>
    <t>Couple mot</t>
  </si>
  <si>
    <t>Mesures à faire sur le motoréducteur à courant continu (MCC) et l'afficheur LCD en mode tachymètre.
Matériel nécessaire :
- un Voltmètre en parallèle aux bornes du MCC,
- un Ampèremètre en série avec l'alimentation du MCC,
- les enroulements du moteur PAP sont non connectés (flottant),
- une alimentation stabilisée pour alimenter le moteur courant continu et faire varier sa fréquence de rotation.</t>
  </si>
  <si>
    <t>Rentrer les paramètres ci-dessous dans la modélisation suivante :
"modélisation PAP mode 2 (pas complet couple max).zcos"
Lancer la simulation afin de déterminer graphiquement le couple de décrochage théorique.
Sur le banc, placer la masse au bout du bras de levier (trou) puis paramétrer, à l'aide du mode mesures de l'afficher LCD, un temps entre pas identique à la simulation. 
Lancer la mesure et relever, à l'aide du rapporteur, l'angle de décrochage du moteur.
Reporter ce résultat dans la case ci-dessous, le taux d'erreur est calculé par rapport à la valeur réelle mesurée.</t>
  </si>
  <si>
    <t>Calcul de l'inertie totale rapportée à l'axe moteur :</t>
  </si>
  <si>
    <t>Conditions initiales pour le calcul</t>
  </si>
  <si>
    <t>Nm</t>
  </si>
  <si>
    <t>Nms</t>
  </si>
  <si>
    <t>temps d'arrêt</t>
  </si>
  <si>
    <t>Inertie totale</t>
  </si>
  <si>
    <t>Moteur PAP</t>
  </si>
  <si>
    <t>Moteur PAP+MCC</t>
  </si>
  <si>
    <t>Evaluation de l'inertie moteur PAP :</t>
  </si>
  <si>
    <t>Inertie MCC:</t>
  </si>
  <si>
    <t>Inertie PAP :</t>
  </si>
  <si>
    <t>(sert au calcul de l'inertie)</t>
  </si>
  <si>
    <t>Moteur PAP en CC</t>
  </si>
  <si>
    <t>Moteur PAP à vide</t>
  </si>
  <si>
    <t>L par phase</t>
  </si>
  <si>
    <r>
      <rPr>
        <b/>
        <sz val="11"/>
        <color rgb="FFFF0000"/>
        <rFont val="Calibri"/>
        <family val="2"/>
        <scheme val="minor"/>
      </rPr>
      <t>Mettre les deux enroulements du moteur PAP en parallèles.</t>
    </r>
    <r>
      <rPr>
        <sz val="11"/>
        <color theme="1"/>
        <rFont val="Calibri"/>
        <family val="2"/>
        <scheme val="minor"/>
      </rPr>
      <t xml:space="preserve">
Matériel nécessaire :
- une alimentation stabilisée branchée aux extrémités des deux enroulements (réglage : 12 Vcc). Les 2 phases sont alimentées par un courant constant donc le moteur PAP reste statique.
- une masse de 250 g.
- deux ampèremètres pour relever l'intensité aux extrémités des deux enroulements.
- mettre la butée anti-basculement en place sur le banc d'essai.
Une fois sous tension, déplacer la masse jusqu'à dépasser le couple de maintien du moteur PAP.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</si>
</sst>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0"/>
    <numFmt numFmtId="165" formatCode="0.0000"/>
    <numFmt numFmtId="166" formatCode="0.0%"/>
    <numFmt numFmtId="167" formatCode="0.000000"/>
    <numFmt numFmtId="168" formatCode="0.000000000"/>
    <numFmt numFmtId="169" formatCode="0.0000000"/>
    <numFmt numFmtId="170" formatCode="0.00000000"/>
  </numFmts>
  <fonts count="7" x14ac:knownFonts="1">
    <font>
      <sz val="11"/>
      <color theme="1"/>
      <name val="Calibri"/>
      <family val="2"/>
      <scheme val="minor"/>
    </font>
    <font>
      <sz val="11"/>
      <color theme="1"/>
      <name val="Calibri"/>
      <family val="2"/>
    </font>
    <font>
      <b/>
      <sz val="11"/>
      <color rgb="FFFF0000"/>
      <name val="Calibri"/>
      <family val="2"/>
      <scheme val="minor"/>
    </font>
    <font>
      <sz val="10"/>
      <color theme="1"/>
      <name val="Arial Unicode MS"/>
      <family val="2"/>
    </font>
    <font>
      <sz val="11"/>
      <name val="Calibri"/>
      <family val="2"/>
      <scheme val="minor"/>
    </font>
    <font>
      <sz val="11"/>
      <color rgb="FFFF0000"/>
      <name val="Calibri"/>
      <family val="2"/>
      <scheme val="minor"/>
    </font>
    <font>
      <strike/>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10">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xf>
    <xf numFmtId="2"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0" fillId="5" borderId="1" xfId="0" applyFill="1" applyBorder="1" applyAlignment="1">
      <alignment horizontal="center" vertical="center"/>
    </xf>
    <xf numFmtId="0" fontId="0" fillId="0" borderId="0" xfId="0" applyAlignment="1">
      <alignment horizontal="center" vertical="center"/>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165" fontId="0" fillId="3" borderId="1" xfId="0" applyNumberFormat="1" applyFill="1" applyBorder="1" applyAlignment="1">
      <alignment horizontal="center" vertical="center"/>
    </xf>
    <xf numFmtId="0" fontId="0" fillId="0" borderId="0" xfId="0" applyFill="1" applyAlignment="1">
      <alignment horizontal="center" vertical="center"/>
    </xf>
    <xf numFmtId="0" fontId="1" fillId="0" borderId="1" xfId="0" applyFont="1" applyFill="1" applyBorder="1" applyAlignment="1">
      <alignment horizontal="center" vertical="center"/>
    </xf>
    <xf numFmtId="0" fontId="0" fillId="0" borderId="2" xfId="0" applyBorder="1" applyAlignment="1">
      <alignment horizontal="center" vertical="center"/>
    </xf>
    <xf numFmtId="166" fontId="0" fillId="2" borderId="1" xfId="0" applyNumberFormat="1" applyFill="1" applyBorder="1" applyAlignment="1">
      <alignment horizontal="center" vertical="center"/>
    </xf>
    <xf numFmtId="0" fontId="0" fillId="0" borderId="0" xfId="0" applyAlignment="1">
      <alignment horizontal="left" vertical="center"/>
    </xf>
    <xf numFmtId="2" fontId="0" fillId="2" borderId="12" xfId="0" applyNumberFormat="1" applyFill="1" applyBorder="1" applyAlignment="1">
      <alignment horizontal="center" vertical="center"/>
    </xf>
    <xf numFmtId="164" fontId="0" fillId="2" borderId="12" xfId="0" applyNumberFormat="1" applyFill="1" applyBorder="1" applyAlignment="1">
      <alignment horizontal="center" vertical="center"/>
    </xf>
    <xf numFmtId="165" fontId="0" fillId="2" borderId="12" xfId="0" applyNumberFormat="1" applyFill="1" applyBorder="1" applyAlignment="1">
      <alignment horizontal="center" vertical="center"/>
    </xf>
    <xf numFmtId="0" fontId="0" fillId="0" borderId="1" xfId="0" applyBorder="1" applyAlignment="1">
      <alignment horizontal="center" vertical="center"/>
    </xf>
    <xf numFmtId="0" fontId="0" fillId="0" borderId="13" xfId="0" applyFill="1" applyBorder="1" applyAlignment="1">
      <alignment horizontal="center" vertical="center"/>
    </xf>
    <xf numFmtId="0" fontId="0" fillId="2" borderId="1" xfId="0"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1" xfId="0" applyFill="1" applyBorder="1"/>
    <xf numFmtId="0" fontId="0" fillId="5" borderId="1" xfId="0" applyNumberFormat="1" applyFill="1" applyBorder="1" applyAlignment="1">
      <alignment horizontal="center" vertical="center"/>
    </xf>
    <xf numFmtId="0" fontId="3" fillId="0" borderId="1" xfId="0" applyFont="1" applyBorder="1" applyAlignment="1">
      <alignment vertical="center"/>
    </xf>
    <xf numFmtId="0" fontId="0" fillId="0" borderId="0" xfId="0" applyFill="1"/>
    <xf numFmtId="0" fontId="0" fillId="5" borderId="2" xfId="0" applyFill="1" applyBorder="1"/>
    <xf numFmtId="0" fontId="0" fillId="0" borderId="1" xfId="0" applyBorder="1"/>
    <xf numFmtId="0" fontId="4" fillId="0" borderId="0" xfId="0" applyFont="1"/>
    <xf numFmtId="0" fontId="0" fillId="0" borderId="13" xfId="0" applyBorder="1" applyAlignment="1">
      <alignment horizontal="center" vertical="center"/>
    </xf>
    <xf numFmtId="0" fontId="0" fillId="0" borderId="14" xfId="0"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167" fontId="0" fillId="2" borderId="1" xfId="0" applyNumberFormat="1" applyFill="1" applyBorder="1" applyAlignment="1">
      <alignment horizontal="center" vertical="center"/>
    </xf>
    <xf numFmtId="0" fontId="0" fillId="0" borderId="17" xfId="0"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NumberFormat="1" applyFill="1" applyBorder="1" applyAlignment="1">
      <alignment horizontal="center" vertical="center"/>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2" borderId="1" xfId="0" applyFill="1" applyBorder="1"/>
    <xf numFmtId="0" fontId="0" fillId="0" borderId="1" xfId="0" applyBorder="1" applyAlignment="1">
      <alignment horizontal="center" vertical="center"/>
    </xf>
    <xf numFmtId="0" fontId="0" fillId="2" borderId="1" xfId="0" applyFill="1" applyBorder="1" applyAlignment="1">
      <alignment horizontal="center" vertical="center"/>
    </xf>
    <xf numFmtId="0" fontId="0" fillId="5" borderId="1" xfId="0" applyFill="1" applyBorder="1"/>
    <xf numFmtId="0" fontId="0" fillId="0" borderId="3" xfId="0" applyBorder="1"/>
    <xf numFmtId="0" fontId="0" fillId="2" borderId="3" xfId="0" applyFill="1" applyBorder="1"/>
    <xf numFmtId="0" fontId="0" fillId="0" borderId="3" xfId="0" applyFill="1" applyBorder="1"/>
    <xf numFmtId="0" fontId="0" fillId="5" borderId="3" xfId="0" applyFill="1" applyBorder="1"/>
    <xf numFmtId="0" fontId="0" fillId="2" borderId="1" xfId="0" applyFill="1" applyBorder="1" applyAlignment="1">
      <alignment horizontal="right" vertical="center"/>
    </xf>
    <xf numFmtId="0" fontId="0" fillId="2" borderId="1" xfId="0" applyFill="1" applyBorder="1" applyAlignment="1">
      <alignment horizontal="right"/>
    </xf>
    <xf numFmtId="0" fontId="0" fillId="0" borderId="0" xfId="0" applyBorder="1" applyAlignment="1"/>
    <xf numFmtId="168" fontId="0" fillId="2" borderId="1" xfId="0" applyNumberFormat="1" applyFill="1" applyBorder="1"/>
    <xf numFmtId="169" fontId="0" fillId="2" borderId="1" xfId="0" applyNumberFormat="1" applyFill="1" applyBorder="1" applyAlignment="1">
      <alignment horizontal="center" vertical="center"/>
    </xf>
    <xf numFmtId="170" fontId="0" fillId="2" borderId="1" xfId="0" applyNumberFormat="1" applyFill="1" applyBorder="1" applyAlignment="1">
      <alignment horizontal="center" vertical="center"/>
    </xf>
    <xf numFmtId="0" fontId="6" fillId="0" borderId="1" xfId="0" applyFont="1" applyBorder="1"/>
    <xf numFmtId="0" fontId="6" fillId="0" borderId="1" xfId="0" applyFont="1" applyFill="1" applyBorder="1" applyAlignment="1">
      <alignment horizontal="right" vertical="center"/>
    </xf>
    <xf numFmtId="0" fontId="6" fillId="0" borderId="1" xfId="0" applyFont="1" applyFill="1" applyBorder="1" applyAlignment="1">
      <alignment horizontal="right"/>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4" borderId="4" xfId="0" applyFill="1" applyBorder="1" applyAlignment="1">
      <alignment horizontal="left" vertical="top" wrapText="1"/>
    </xf>
    <xf numFmtId="0" fontId="0" fillId="4" borderId="5" xfId="0" applyFill="1" applyBorder="1" applyAlignment="1">
      <alignment horizontal="left" vertical="top"/>
    </xf>
    <xf numFmtId="0" fontId="0" fillId="4" borderId="6" xfId="0" applyFill="1" applyBorder="1" applyAlignment="1">
      <alignment horizontal="left" vertical="top"/>
    </xf>
    <xf numFmtId="0" fontId="0" fillId="4" borderId="7" xfId="0" applyFill="1" applyBorder="1" applyAlignment="1">
      <alignment horizontal="left" vertical="top"/>
    </xf>
    <xf numFmtId="0" fontId="0" fillId="4" borderId="0" xfId="0" applyFill="1" applyBorder="1" applyAlignment="1">
      <alignment horizontal="left" vertical="top"/>
    </xf>
    <xf numFmtId="0" fontId="0" fillId="4" borderId="8" xfId="0" applyFill="1" applyBorder="1" applyAlignment="1">
      <alignment horizontal="left" vertical="top"/>
    </xf>
    <xf numFmtId="0" fontId="0" fillId="4" borderId="9" xfId="0" applyFill="1" applyBorder="1" applyAlignment="1">
      <alignment horizontal="left" vertical="top"/>
    </xf>
    <xf numFmtId="0" fontId="0" fillId="4" borderId="10" xfId="0" applyFill="1" applyBorder="1" applyAlignment="1">
      <alignment horizontal="left" vertical="top"/>
    </xf>
    <xf numFmtId="0" fontId="0" fillId="4" borderId="11" xfId="0" applyFill="1" applyBorder="1" applyAlignment="1">
      <alignment horizontal="left" vertical="top"/>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xf numFmtId="0" fontId="0" fillId="4" borderId="0" xfId="0" applyFill="1" applyBorder="1" applyAlignment="1">
      <alignment horizontal="left"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0" fillId="2" borderId="1" xfId="0" applyFill="1" applyBorder="1" applyAlignment="1">
      <alignment horizontal="center" vertical="center"/>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2" xfId="0" applyBorder="1" applyAlignment="1">
      <alignment horizontal="center" vertical="center" wrapText="1"/>
    </xf>
    <xf numFmtId="0" fontId="0" fillId="6" borderId="1" xfId="0" applyFill="1" applyBorder="1" applyAlignment="1">
      <alignment horizontal="center" vertical="center"/>
    </xf>
    <xf numFmtId="0" fontId="0" fillId="6" borderId="14" xfId="0" applyFill="1" applyBorder="1" applyAlignment="1">
      <alignment horizontal="center" vertical="center"/>
    </xf>
    <xf numFmtId="0" fontId="0" fillId="6" borderId="15" xfId="0" applyFill="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2" borderId="1" xfId="0" applyFill="1" applyBorder="1" applyAlignment="1">
      <alignment horizontal="center"/>
    </xf>
    <xf numFmtId="0" fontId="0" fillId="0" borderId="1" xfId="0" applyFill="1" applyBorder="1" applyAlignment="1">
      <alignment horizontal="center"/>
    </xf>
    <xf numFmtId="0" fontId="0" fillId="0" borderId="0" xfId="0" applyAlignment="1">
      <alignment horizontal="left" vertical="center"/>
    </xf>
    <xf numFmtId="0" fontId="0" fillId="0" borderId="2" xfId="0" applyBorder="1" applyAlignment="1">
      <alignment horizontal="left"/>
    </xf>
    <xf numFmtId="0" fontId="0" fillId="0" borderId="20" xfId="0" applyBorder="1" applyAlignment="1">
      <alignment horizontal="left"/>
    </xf>
    <xf numFmtId="0" fontId="0" fillId="0" borderId="3" xfId="0" applyBorder="1" applyAlignment="1">
      <alignment horizontal="left"/>
    </xf>
    <xf numFmtId="0" fontId="0" fillId="0" borderId="19" xfId="0" applyBorder="1" applyAlignment="1">
      <alignment horizontal="left"/>
    </xf>
    <xf numFmtId="0" fontId="0" fillId="0" borderId="18"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 = f(w)       (MCC accouplé au PAP)</a:t>
            </a:r>
          </a:p>
        </c:rich>
      </c:tx>
      <c:layout>
        <c:manualLayout>
          <c:xMode val="edge"/>
          <c:yMode val="edge"/>
          <c:x val="0.26825318253406383"/>
          <c:y val="1.70394093362546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6.3716279465411751E-2"/>
          <c:y val="0.12082081652312865"/>
          <c:w val="0.89109377095565268"/>
          <c:h val="0.80165725026867274"/>
        </c:manualLayout>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0"/>
            <c:dispEq val="1"/>
            <c:trendlineLbl>
              <c:layout>
                <c:manualLayout>
                  <c:x val="-0.18129198065067564"/>
                  <c:y val="0.2227461648091587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trendlineLbl>
          </c:trendline>
          <c:xVal>
            <c:numRef>
              <c:f>'Détermination de f et Cfs'!$G$22:$G$27</c:f>
              <c:numCache>
                <c:formatCode>General</c:formatCode>
                <c:ptCount val="6"/>
                <c:pt idx="0">
                  <c:v>40.631264986427986</c:v>
                </c:pt>
                <c:pt idx="1">
                  <c:v>37.175513067479216</c:v>
                </c:pt>
                <c:pt idx="2">
                  <c:v>33.510321638291124</c:v>
                </c:pt>
                <c:pt idx="3">
                  <c:v>24.504422698000386</c:v>
                </c:pt>
                <c:pt idx="4">
                  <c:v>21.467549799530254</c:v>
                </c:pt>
                <c:pt idx="5">
                  <c:v>17.488199104983185</c:v>
                </c:pt>
              </c:numCache>
            </c:numRef>
          </c:xVal>
          <c:yVal>
            <c:numRef>
              <c:f>'Détermination de f et Cfs'!$H$22:$H$27</c:f>
              <c:numCache>
                <c:formatCode>General</c:formatCode>
                <c:ptCount val="6"/>
                <c:pt idx="0">
                  <c:v>4.4717310000000003E-2</c:v>
                </c:pt>
                <c:pt idx="1">
                  <c:v>4.3043400000000002E-2</c:v>
                </c:pt>
                <c:pt idx="2">
                  <c:v>4.1847749999999996E-2</c:v>
                </c:pt>
                <c:pt idx="3">
                  <c:v>3.8978190000000003E-2</c:v>
                </c:pt>
                <c:pt idx="4">
                  <c:v>3.7782540000000003E-2</c:v>
                </c:pt>
                <c:pt idx="5">
                  <c:v>3.6108630000000003E-2</c:v>
                </c:pt>
              </c:numCache>
            </c:numRef>
          </c:yVal>
          <c:smooth val="1"/>
          <c:extLst>
            <c:ext xmlns:c16="http://schemas.microsoft.com/office/drawing/2014/chart" uri="{C3380CC4-5D6E-409C-BE32-E72D297353CC}">
              <c16:uniqueId val="{00000001-FAF1-45E6-AD04-60AAF41F2EF1}"/>
            </c:ext>
          </c:extLst>
        </c:ser>
        <c:dLbls>
          <c:showLegendKey val="0"/>
          <c:showVal val="0"/>
          <c:showCatName val="0"/>
          <c:showSerName val="0"/>
          <c:showPercent val="0"/>
          <c:showBubbleSize val="0"/>
        </c:dLbls>
        <c:axId val="392579024"/>
        <c:axId val="392581344"/>
      </c:scatterChart>
      <c:valAx>
        <c:axId val="3925790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2581344"/>
        <c:crosses val="autoZero"/>
        <c:crossBetween val="midCat"/>
      </c:valAx>
      <c:valAx>
        <c:axId val="3925813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2579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 = f(w)       (MCC accouplé au PAP)</a:t>
            </a:r>
          </a:p>
        </c:rich>
      </c:tx>
      <c:layout>
        <c:manualLayout>
          <c:xMode val="edge"/>
          <c:yMode val="edge"/>
          <c:x val="0.26825318253406383"/>
          <c:y val="1.70394093362546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6.3716279465411751E-2"/>
          <c:y val="0.12082081652312865"/>
          <c:w val="0.89109377095565268"/>
          <c:h val="0.80165725026867274"/>
        </c:manualLayout>
      </c:layout>
      <c:scatterChart>
        <c:scatterStyle val="smoothMarker"/>
        <c:varyColors val="0"/>
        <c:ser>
          <c:idx val="0"/>
          <c:order val="0"/>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0"/>
            <c:dispEq val="1"/>
            <c:trendlineLbl>
              <c:layout>
                <c:manualLayout>
                  <c:x val="-0.18129198065067564"/>
                  <c:y val="0.2227461648091587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trendlineLbl>
          </c:trendline>
          <c:xVal>
            <c:numRef>
              <c:f>'Détermination de f et Cfs'!$G$52:$G$54</c:f>
              <c:numCache>
                <c:formatCode>General</c:formatCode>
                <c:ptCount val="3"/>
                <c:pt idx="0">
                  <c:v>5.9690260418206069</c:v>
                </c:pt>
                <c:pt idx="1">
                  <c:v>4.3982297150257104</c:v>
                </c:pt>
                <c:pt idx="2">
                  <c:v>3.4557519189487724</c:v>
                </c:pt>
              </c:numCache>
            </c:numRef>
          </c:xVal>
          <c:yVal>
            <c:numRef>
              <c:f>'Détermination de f et Cfs'!$H$52:$H$54</c:f>
              <c:numCache>
                <c:formatCode>General</c:formatCode>
                <c:ptCount val="3"/>
                <c:pt idx="0">
                  <c:v>0.15782580000000002</c:v>
                </c:pt>
                <c:pt idx="1">
                  <c:v>0.14586930000000001</c:v>
                </c:pt>
                <c:pt idx="2">
                  <c:v>0.13391280000000003</c:v>
                </c:pt>
              </c:numCache>
            </c:numRef>
          </c:yVal>
          <c:smooth val="1"/>
          <c:extLst>
            <c:ext xmlns:c16="http://schemas.microsoft.com/office/drawing/2014/chart" uri="{C3380CC4-5D6E-409C-BE32-E72D297353CC}">
              <c16:uniqueId val="{00000001-1644-462B-9C95-7B840A094064}"/>
            </c:ext>
          </c:extLst>
        </c:ser>
        <c:dLbls>
          <c:showLegendKey val="0"/>
          <c:showVal val="0"/>
          <c:showCatName val="0"/>
          <c:showSerName val="0"/>
          <c:showPercent val="0"/>
          <c:showBubbleSize val="0"/>
        </c:dLbls>
        <c:axId val="392579024"/>
        <c:axId val="392581344"/>
      </c:scatterChart>
      <c:valAx>
        <c:axId val="3925790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2581344"/>
        <c:crosses val="autoZero"/>
        <c:crossBetween val="midCat"/>
      </c:valAx>
      <c:valAx>
        <c:axId val="3925813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2579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1</xdr:row>
      <xdr:rowOff>19050</xdr:rowOff>
    </xdr:from>
    <xdr:to>
      <xdr:col>15</xdr:col>
      <xdr:colOff>256382</xdr:colOff>
      <xdr:row>33</xdr:row>
      <xdr:rowOff>104001</xdr:rowOff>
    </xdr:to>
    <xdr:pic>
      <xdr:nvPicPr>
        <xdr:cNvPr id="3" name="Image 2">
          <a:extLst>
            <a:ext uri="{FF2B5EF4-FFF2-40B4-BE49-F238E27FC236}">
              <a16:creationId xmlns:a16="http://schemas.microsoft.com/office/drawing/2014/main" id="{FDC739BE-8E27-4443-981E-1B83715429E8}"/>
            </a:ext>
          </a:extLst>
        </xdr:cNvPr>
        <xdr:cNvPicPr>
          <a:picLocks noChangeAspect="1"/>
        </xdr:cNvPicPr>
      </xdr:nvPicPr>
      <xdr:blipFill>
        <a:blip xmlns:r="http://schemas.openxmlformats.org/officeDocument/2006/relationships" r:embed="rId1"/>
        <a:stretch>
          <a:fillRect/>
        </a:stretch>
      </xdr:blipFill>
      <xdr:spPr>
        <a:xfrm>
          <a:off x="6343650" y="219075"/>
          <a:ext cx="6342857" cy="6190476"/>
        </a:xfrm>
        <a:prstGeom prst="rect">
          <a:avLst/>
        </a:prstGeom>
      </xdr:spPr>
    </xdr:pic>
    <xdr:clientData/>
  </xdr:twoCellAnchor>
  <xdr:twoCellAnchor>
    <xdr:from>
      <xdr:col>1</xdr:col>
      <xdr:colOff>361950</xdr:colOff>
      <xdr:row>7</xdr:row>
      <xdr:rowOff>95250</xdr:rowOff>
    </xdr:from>
    <xdr:to>
      <xdr:col>13</xdr:col>
      <xdr:colOff>666750</xdr:colOff>
      <xdr:row>31</xdr:row>
      <xdr:rowOff>66675</xdr:rowOff>
    </xdr:to>
    <xdr:grpSp>
      <xdr:nvGrpSpPr>
        <xdr:cNvPr id="19" name="Groupe 18">
          <a:extLst>
            <a:ext uri="{FF2B5EF4-FFF2-40B4-BE49-F238E27FC236}">
              <a16:creationId xmlns:a16="http://schemas.microsoft.com/office/drawing/2014/main" id="{08FBE22D-6439-476C-9A36-A4D00B58E621}"/>
            </a:ext>
          </a:extLst>
        </xdr:cNvPr>
        <xdr:cNvGrpSpPr/>
      </xdr:nvGrpSpPr>
      <xdr:grpSpPr>
        <a:xfrm>
          <a:off x="1123950" y="1438275"/>
          <a:ext cx="10448925" cy="4552950"/>
          <a:chOff x="1123950" y="1438275"/>
          <a:chExt cx="10448925" cy="4552950"/>
        </a:xfrm>
      </xdr:grpSpPr>
      <xdr:sp macro="" textlink="">
        <xdr:nvSpPr>
          <xdr:cNvPr id="2" name="Ellipse 1">
            <a:extLst>
              <a:ext uri="{FF2B5EF4-FFF2-40B4-BE49-F238E27FC236}">
                <a16:creationId xmlns:a16="http://schemas.microsoft.com/office/drawing/2014/main" id="{810E7C74-4B0D-4C11-AA27-5B276CE7D890}"/>
              </a:ext>
            </a:extLst>
          </xdr:cNvPr>
          <xdr:cNvSpPr/>
        </xdr:nvSpPr>
        <xdr:spPr>
          <a:xfrm>
            <a:off x="10429874" y="3305173"/>
            <a:ext cx="1143001" cy="609601"/>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5" name="Connecteur droit avec flèche 4">
            <a:extLst>
              <a:ext uri="{FF2B5EF4-FFF2-40B4-BE49-F238E27FC236}">
                <a16:creationId xmlns:a16="http://schemas.microsoft.com/office/drawing/2014/main" id="{390D85BD-3479-4316-B7F6-0F27B1024035}"/>
              </a:ext>
            </a:extLst>
          </xdr:cNvPr>
          <xdr:cNvCxnSpPr>
            <a:stCxn id="13" idx="3"/>
            <a:endCxn id="2" idx="1"/>
          </xdr:cNvCxnSpPr>
        </xdr:nvCxnSpPr>
        <xdr:spPr>
          <a:xfrm>
            <a:off x="10096499" y="2900363"/>
            <a:ext cx="500764" cy="494084"/>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sp macro="" textlink="">
        <xdr:nvSpPr>
          <xdr:cNvPr id="6" name="Ellipse 5">
            <a:extLst>
              <a:ext uri="{FF2B5EF4-FFF2-40B4-BE49-F238E27FC236}">
                <a16:creationId xmlns:a16="http://schemas.microsoft.com/office/drawing/2014/main" id="{564438DE-8EF2-4E17-B144-B0FB8ADD5445}"/>
              </a:ext>
            </a:extLst>
          </xdr:cNvPr>
          <xdr:cNvSpPr/>
        </xdr:nvSpPr>
        <xdr:spPr>
          <a:xfrm>
            <a:off x="10467974" y="4895848"/>
            <a:ext cx="1062790" cy="679269"/>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7" name="Connecteur droit avec flèche 6">
            <a:extLst>
              <a:ext uri="{FF2B5EF4-FFF2-40B4-BE49-F238E27FC236}">
                <a16:creationId xmlns:a16="http://schemas.microsoft.com/office/drawing/2014/main" id="{B777E5D5-7D59-4D87-B5D6-74427FE96559}"/>
              </a:ext>
            </a:extLst>
          </xdr:cNvPr>
          <xdr:cNvCxnSpPr>
            <a:stCxn id="6" idx="2"/>
          </xdr:cNvCxnSpPr>
        </xdr:nvCxnSpPr>
        <xdr:spPr>
          <a:xfrm flipH="1">
            <a:off x="3810000" y="5235483"/>
            <a:ext cx="6657974" cy="755742"/>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cxnSp macro="">
        <xdr:nvCxnSpPr>
          <xdr:cNvPr id="10" name="Connecteur droit avec flèche 9">
            <a:extLst>
              <a:ext uri="{FF2B5EF4-FFF2-40B4-BE49-F238E27FC236}">
                <a16:creationId xmlns:a16="http://schemas.microsoft.com/office/drawing/2014/main" id="{15407C7D-3C0E-4E70-8713-A674F00EDE04}"/>
              </a:ext>
            </a:extLst>
          </xdr:cNvPr>
          <xdr:cNvCxnSpPr>
            <a:stCxn id="2" idx="4"/>
            <a:endCxn id="6" idx="0"/>
          </xdr:cNvCxnSpPr>
        </xdr:nvCxnSpPr>
        <xdr:spPr>
          <a:xfrm flipH="1">
            <a:off x="10999369" y="3914774"/>
            <a:ext cx="2006" cy="981074"/>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sp macro="" textlink="">
        <xdr:nvSpPr>
          <xdr:cNvPr id="12" name="Ellipse 11">
            <a:extLst>
              <a:ext uri="{FF2B5EF4-FFF2-40B4-BE49-F238E27FC236}">
                <a16:creationId xmlns:a16="http://schemas.microsoft.com/office/drawing/2014/main" id="{01EBD9FB-0F6A-42CC-9D25-89205910CC30}"/>
              </a:ext>
            </a:extLst>
          </xdr:cNvPr>
          <xdr:cNvSpPr/>
        </xdr:nvSpPr>
        <xdr:spPr>
          <a:xfrm>
            <a:off x="1123950" y="1438275"/>
            <a:ext cx="4095750" cy="3219450"/>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ZoneTexte 12">
            <a:extLst>
              <a:ext uri="{FF2B5EF4-FFF2-40B4-BE49-F238E27FC236}">
                <a16:creationId xmlns:a16="http://schemas.microsoft.com/office/drawing/2014/main" id="{1465E935-D795-4D08-9233-57A1C09F4B4B}"/>
              </a:ext>
            </a:extLst>
          </xdr:cNvPr>
          <xdr:cNvSpPr txBox="1"/>
        </xdr:nvSpPr>
        <xdr:spPr>
          <a:xfrm>
            <a:off x="7486650" y="2657475"/>
            <a:ext cx="2609849" cy="485775"/>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a:t>Début d'un mouvement de rotation du moteur</a:t>
            </a:r>
          </a:p>
        </xdr:txBody>
      </xdr:sp>
      <xdr:cxnSp macro="">
        <xdr:nvCxnSpPr>
          <xdr:cNvPr id="16" name="Connecteur droit avec flèche 15">
            <a:extLst>
              <a:ext uri="{FF2B5EF4-FFF2-40B4-BE49-F238E27FC236}">
                <a16:creationId xmlns:a16="http://schemas.microsoft.com/office/drawing/2014/main" id="{BB890E4B-7656-4E87-8C0E-76124313FD23}"/>
              </a:ext>
            </a:extLst>
          </xdr:cNvPr>
          <xdr:cNvCxnSpPr>
            <a:stCxn id="12" idx="6"/>
            <a:endCxn id="13" idx="1"/>
          </xdr:cNvCxnSpPr>
        </xdr:nvCxnSpPr>
        <xdr:spPr>
          <a:xfrm flipV="1">
            <a:off x="5219700" y="2900363"/>
            <a:ext cx="2266950" cy="147637"/>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301438</xdr:colOff>
      <xdr:row>14</xdr:row>
      <xdr:rowOff>171451</xdr:rowOff>
    </xdr:from>
    <xdr:to>
      <xdr:col>15</xdr:col>
      <xdr:colOff>104775</xdr:colOff>
      <xdr:row>28</xdr:row>
      <xdr:rowOff>104775</xdr:rowOff>
    </xdr:to>
    <xdr:graphicFrame macro="">
      <xdr:nvGraphicFramePr>
        <xdr:cNvPr id="2" name="Graphique 1">
          <a:extLst>
            <a:ext uri="{FF2B5EF4-FFF2-40B4-BE49-F238E27FC236}">
              <a16:creationId xmlns:a16="http://schemas.microsoft.com/office/drawing/2014/main" id="{77EBF3F2-16CE-4287-9DEF-3B297A19B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47</xdr:row>
      <xdr:rowOff>0</xdr:rowOff>
    </xdr:from>
    <xdr:to>
      <xdr:col>15</xdr:col>
      <xdr:colOff>565337</xdr:colOff>
      <xdr:row>60</xdr:row>
      <xdr:rowOff>123824</xdr:rowOff>
    </xdr:to>
    <xdr:graphicFrame macro="">
      <xdr:nvGraphicFramePr>
        <xdr:cNvPr id="3" name="Graphique 2">
          <a:extLst>
            <a:ext uri="{FF2B5EF4-FFF2-40B4-BE49-F238E27FC236}">
              <a16:creationId xmlns:a16="http://schemas.microsoft.com/office/drawing/2014/main" id="{235C5DBA-D633-419F-BC6C-DF1C0FF03A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259977</xdr:colOff>
      <xdr:row>0</xdr:row>
      <xdr:rowOff>22412</xdr:rowOff>
    </xdr:from>
    <xdr:to>
      <xdr:col>17</xdr:col>
      <xdr:colOff>336176</xdr:colOff>
      <xdr:row>38</xdr:row>
      <xdr:rowOff>166662</xdr:rowOff>
    </xdr:to>
    <xdr:pic>
      <xdr:nvPicPr>
        <xdr:cNvPr id="31" name="Image 30">
          <a:extLst>
            <a:ext uri="{FF2B5EF4-FFF2-40B4-BE49-F238E27FC236}">
              <a16:creationId xmlns:a16="http://schemas.microsoft.com/office/drawing/2014/main" id="{1C3A7220-E63C-48F4-9E7C-F26E96DBE4B3}"/>
            </a:ext>
          </a:extLst>
        </xdr:cNvPr>
        <xdr:cNvPicPr>
          <a:picLocks noChangeAspect="1"/>
        </xdr:cNvPicPr>
      </xdr:nvPicPr>
      <xdr:blipFill>
        <a:blip xmlns:r="http://schemas.openxmlformats.org/officeDocument/2006/relationships" r:embed="rId1"/>
        <a:stretch>
          <a:fillRect/>
        </a:stretch>
      </xdr:blipFill>
      <xdr:spPr>
        <a:xfrm>
          <a:off x="8776448" y="22412"/>
          <a:ext cx="6934199" cy="7405662"/>
        </a:xfrm>
        <a:prstGeom prst="rect">
          <a:avLst/>
        </a:prstGeom>
      </xdr:spPr>
    </xdr:pic>
    <xdr:clientData/>
  </xdr:twoCellAnchor>
  <xdr:twoCellAnchor>
    <xdr:from>
      <xdr:col>0</xdr:col>
      <xdr:colOff>647699</xdr:colOff>
      <xdr:row>10</xdr:row>
      <xdr:rowOff>47625</xdr:rowOff>
    </xdr:from>
    <xdr:to>
      <xdr:col>16</xdr:col>
      <xdr:colOff>49954</xdr:colOff>
      <xdr:row>33</xdr:row>
      <xdr:rowOff>30445</xdr:rowOff>
    </xdr:to>
    <xdr:grpSp>
      <xdr:nvGrpSpPr>
        <xdr:cNvPr id="3" name="Groupe 2">
          <a:extLst>
            <a:ext uri="{FF2B5EF4-FFF2-40B4-BE49-F238E27FC236}">
              <a16:creationId xmlns:a16="http://schemas.microsoft.com/office/drawing/2014/main" id="{1E45264B-6A49-4D56-B135-24DD658824B9}"/>
            </a:ext>
          </a:extLst>
        </xdr:cNvPr>
        <xdr:cNvGrpSpPr/>
      </xdr:nvGrpSpPr>
      <xdr:grpSpPr>
        <a:xfrm>
          <a:off x="647699" y="1963831"/>
          <a:ext cx="14070755" cy="4375526"/>
          <a:chOff x="-2695576" y="2457450"/>
          <a:chExt cx="13335503" cy="4373745"/>
        </a:xfrm>
      </xdr:grpSpPr>
      <xdr:sp macro="" textlink="">
        <xdr:nvSpPr>
          <xdr:cNvPr id="4" name="Ellipse 3">
            <a:extLst>
              <a:ext uri="{FF2B5EF4-FFF2-40B4-BE49-F238E27FC236}">
                <a16:creationId xmlns:a16="http://schemas.microsoft.com/office/drawing/2014/main" id="{17AF7C2B-7570-40BC-95C1-D86E5437E270}"/>
              </a:ext>
            </a:extLst>
          </xdr:cNvPr>
          <xdr:cNvSpPr/>
        </xdr:nvSpPr>
        <xdr:spPr>
          <a:xfrm>
            <a:off x="9336346" y="3518609"/>
            <a:ext cx="1143001" cy="609601"/>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5" name="Connecteur droit avec flèche 4">
            <a:extLst>
              <a:ext uri="{FF2B5EF4-FFF2-40B4-BE49-F238E27FC236}">
                <a16:creationId xmlns:a16="http://schemas.microsoft.com/office/drawing/2014/main" id="{53212D2A-FC3D-46E4-A7C2-FFBE4C4A9623}"/>
              </a:ext>
            </a:extLst>
          </xdr:cNvPr>
          <xdr:cNvCxnSpPr>
            <a:stCxn id="10" idx="3"/>
            <a:endCxn id="4" idx="1"/>
          </xdr:cNvCxnSpPr>
        </xdr:nvCxnSpPr>
        <xdr:spPr>
          <a:xfrm>
            <a:off x="9004615" y="3228098"/>
            <a:ext cx="499119" cy="379784"/>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sp macro="" textlink="">
        <xdr:nvSpPr>
          <xdr:cNvPr id="6" name="Ellipse 5">
            <a:extLst>
              <a:ext uri="{FF2B5EF4-FFF2-40B4-BE49-F238E27FC236}">
                <a16:creationId xmlns:a16="http://schemas.microsoft.com/office/drawing/2014/main" id="{55F4FD15-F331-41E0-8B1B-4E89FE5B891E}"/>
              </a:ext>
            </a:extLst>
          </xdr:cNvPr>
          <xdr:cNvSpPr/>
        </xdr:nvSpPr>
        <xdr:spPr>
          <a:xfrm>
            <a:off x="9577137" y="6151926"/>
            <a:ext cx="1062790" cy="679269"/>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7" name="Connecteur droit avec flèche 6">
            <a:extLst>
              <a:ext uri="{FF2B5EF4-FFF2-40B4-BE49-F238E27FC236}">
                <a16:creationId xmlns:a16="http://schemas.microsoft.com/office/drawing/2014/main" id="{CBF6EAF2-349D-4D13-8D1E-0905227F8D0A}"/>
              </a:ext>
            </a:extLst>
          </xdr:cNvPr>
          <xdr:cNvCxnSpPr>
            <a:stCxn id="6" idx="2"/>
            <a:endCxn id="37" idx="3"/>
          </xdr:cNvCxnSpPr>
        </xdr:nvCxnSpPr>
        <xdr:spPr>
          <a:xfrm flipH="1" flipV="1">
            <a:off x="6935056" y="6116741"/>
            <a:ext cx="2642081" cy="374819"/>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cxnSp macro="">
        <xdr:nvCxnSpPr>
          <xdr:cNvPr id="8" name="Connecteur droit avec flèche 7">
            <a:extLst>
              <a:ext uri="{FF2B5EF4-FFF2-40B4-BE49-F238E27FC236}">
                <a16:creationId xmlns:a16="http://schemas.microsoft.com/office/drawing/2014/main" id="{1649FCC4-7AF3-447C-AEDF-56CBAC4B664C}"/>
              </a:ext>
            </a:extLst>
          </xdr:cNvPr>
          <xdr:cNvCxnSpPr>
            <a:stCxn id="4" idx="4"/>
            <a:endCxn id="6" idx="0"/>
          </xdr:cNvCxnSpPr>
        </xdr:nvCxnSpPr>
        <xdr:spPr>
          <a:xfrm>
            <a:off x="9907846" y="4128210"/>
            <a:ext cx="200685" cy="2023716"/>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sp macro="" textlink="">
        <xdr:nvSpPr>
          <xdr:cNvPr id="9" name="Ellipse 8">
            <a:extLst>
              <a:ext uri="{FF2B5EF4-FFF2-40B4-BE49-F238E27FC236}">
                <a16:creationId xmlns:a16="http://schemas.microsoft.com/office/drawing/2014/main" id="{3D3048F5-EEF6-471E-AA1D-93A9B3185E44}"/>
              </a:ext>
            </a:extLst>
          </xdr:cNvPr>
          <xdr:cNvSpPr/>
        </xdr:nvSpPr>
        <xdr:spPr>
          <a:xfrm>
            <a:off x="-2695576" y="2457450"/>
            <a:ext cx="8583715" cy="2743200"/>
          </a:xfrm>
          <a:prstGeom prst="ellipse">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0" name="ZoneTexte 9">
            <a:extLst>
              <a:ext uri="{FF2B5EF4-FFF2-40B4-BE49-F238E27FC236}">
                <a16:creationId xmlns:a16="http://schemas.microsoft.com/office/drawing/2014/main" id="{9BBDB5DD-BC85-43FC-A4E7-8EEBBC9D765E}"/>
              </a:ext>
            </a:extLst>
          </xdr:cNvPr>
          <xdr:cNvSpPr txBox="1"/>
        </xdr:nvSpPr>
        <xdr:spPr>
          <a:xfrm>
            <a:off x="6394766" y="2985210"/>
            <a:ext cx="2609849" cy="485775"/>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a:t>A ce pas, le</a:t>
            </a:r>
            <a:r>
              <a:rPr lang="fr-FR" sz="1100" baseline="0"/>
              <a:t> couple moteur devient insuffisant</a:t>
            </a:r>
            <a:endParaRPr lang="fr-FR" sz="1100"/>
          </a:p>
        </xdr:txBody>
      </xdr:sp>
      <xdr:cxnSp macro="">
        <xdr:nvCxnSpPr>
          <xdr:cNvPr id="11" name="Connecteur droit avec flèche 10">
            <a:extLst>
              <a:ext uri="{FF2B5EF4-FFF2-40B4-BE49-F238E27FC236}">
                <a16:creationId xmlns:a16="http://schemas.microsoft.com/office/drawing/2014/main" id="{84FCE2C4-A574-41DE-9FCE-AE0C698C2508}"/>
              </a:ext>
            </a:extLst>
          </xdr:cNvPr>
          <xdr:cNvCxnSpPr>
            <a:stCxn id="9" idx="6"/>
            <a:endCxn id="10" idx="1"/>
          </xdr:cNvCxnSpPr>
        </xdr:nvCxnSpPr>
        <xdr:spPr>
          <a:xfrm flipV="1">
            <a:off x="5888139" y="3228098"/>
            <a:ext cx="506627" cy="600952"/>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grpSp>
    <xdr:clientData/>
  </xdr:twoCellAnchor>
  <xdr:twoCellAnchor>
    <xdr:from>
      <xdr:col>5</xdr:col>
      <xdr:colOff>748552</xdr:colOff>
      <xdr:row>28</xdr:row>
      <xdr:rowOff>25213</xdr:rowOff>
    </xdr:from>
    <xdr:to>
      <xdr:col>10</xdr:col>
      <xdr:colOff>728381</xdr:colOff>
      <xdr:row>30</xdr:row>
      <xdr:rowOff>130186</xdr:rowOff>
    </xdr:to>
    <xdr:sp macro="" textlink="">
      <xdr:nvSpPr>
        <xdr:cNvPr id="37" name="ZoneTexte 36">
          <a:extLst>
            <a:ext uri="{FF2B5EF4-FFF2-40B4-BE49-F238E27FC236}">
              <a16:creationId xmlns:a16="http://schemas.microsoft.com/office/drawing/2014/main" id="{DB100102-0693-4ED9-8F7C-DEC788932560}"/>
            </a:ext>
          </a:extLst>
        </xdr:cNvPr>
        <xdr:cNvSpPr txBox="1"/>
      </xdr:nvSpPr>
      <xdr:spPr>
        <a:xfrm>
          <a:off x="6329081" y="5381625"/>
          <a:ext cx="4439771" cy="485973"/>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a:t>Affiner le couple max de la simulation pour arriver au dernier décrochage (par pas de 0,01 N.m)</a:t>
          </a:r>
        </a:p>
      </xdr:txBody>
    </xdr:sp>
    <xdr:clientData/>
  </xdr:twoCellAnchor>
  <xdr:twoCellAnchor>
    <xdr:from>
      <xdr:col>4</xdr:col>
      <xdr:colOff>145677</xdr:colOff>
      <xdr:row>29</xdr:row>
      <xdr:rowOff>77700</xdr:rowOff>
    </xdr:from>
    <xdr:to>
      <xdr:col>5</xdr:col>
      <xdr:colOff>748552</xdr:colOff>
      <xdr:row>30</xdr:row>
      <xdr:rowOff>56029</xdr:rowOff>
    </xdr:to>
    <xdr:cxnSp macro="">
      <xdr:nvCxnSpPr>
        <xdr:cNvPr id="39" name="Connecteur droit avec flèche 38">
          <a:extLst>
            <a:ext uri="{FF2B5EF4-FFF2-40B4-BE49-F238E27FC236}">
              <a16:creationId xmlns:a16="http://schemas.microsoft.com/office/drawing/2014/main" id="{02F8B166-EB53-4289-B1A1-D9EF2A313EBE}"/>
            </a:ext>
          </a:extLst>
        </xdr:cNvPr>
        <xdr:cNvCxnSpPr>
          <a:stCxn id="37" idx="1"/>
        </xdr:cNvCxnSpPr>
      </xdr:nvCxnSpPr>
      <xdr:spPr>
        <a:xfrm flipH="1">
          <a:off x="4291853" y="5624612"/>
          <a:ext cx="2037228" cy="168829"/>
        </a:xfrm>
        <a:prstGeom prst="straightConnector1">
          <a:avLst/>
        </a:prstGeom>
        <a:ln w="38100">
          <a:solidFill>
            <a:srgbClr val="00B050"/>
          </a:solidFill>
          <a:tailEnd type="triangle"/>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DC676-C090-4F56-A21D-730CF4F6347D}">
  <dimension ref="B1:L29"/>
  <sheetViews>
    <sheetView zoomScale="130" zoomScaleNormal="130" workbookViewId="0">
      <selection activeCell="J20" sqref="J20"/>
    </sheetView>
  </sheetViews>
  <sheetFormatPr baseColWidth="10" defaultRowHeight="15" x14ac:dyDescent="0.25"/>
  <cols>
    <col min="2" max="2" width="12.85546875" customWidth="1"/>
    <col min="3" max="3" width="14.42578125" bestFit="1" customWidth="1"/>
    <col min="4" max="4" width="11" customWidth="1"/>
    <col min="5" max="5" width="10.42578125" customWidth="1"/>
    <col min="6" max="6" width="19.5703125" bestFit="1" customWidth="1"/>
    <col min="7" max="7" width="10.28515625" customWidth="1"/>
    <col min="8" max="8" width="12" customWidth="1"/>
    <col min="11" max="11" width="17.140625" bestFit="1" customWidth="1"/>
    <col min="12" max="12" width="18.42578125" bestFit="1" customWidth="1"/>
  </cols>
  <sheetData>
    <row r="1" spans="2:12" ht="15.75" thickBot="1" x14ac:dyDescent="0.3"/>
    <row r="2" spans="2:12" x14ac:dyDescent="0.25">
      <c r="B2" s="73" t="s">
        <v>93</v>
      </c>
      <c r="C2" s="74"/>
      <c r="D2" s="74"/>
      <c r="E2" s="74"/>
      <c r="F2" s="75"/>
    </row>
    <row r="3" spans="2:12" x14ac:dyDescent="0.25">
      <c r="B3" s="76"/>
      <c r="C3" s="77"/>
      <c r="D3" s="77"/>
      <c r="E3" s="77"/>
      <c r="F3" s="78"/>
    </row>
    <row r="4" spans="2:12" x14ac:dyDescent="0.25">
      <c r="B4" s="76"/>
      <c r="C4" s="77"/>
      <c r="D4" s="77"/>
      <c r="E4" s="77"/>
      <c r="F4" s="78"/>
    </row>
    <row r="5" spans="2:12" x14ac:dyDescent="0.25">
      <c r="B5" s="76"/>
      <c r="C5" s="77"/>
      <c r="D5" s="77"/>
      <c r="E5" s="77"/>
      <c r="F5" s="78"/>
    </row>
    <row r="6" spans="2:12" x14ac:dyDescent="0.25">
      <c r="B6" s="76"/>
      <c r="C6" s="77"/>
      <c r="D6" s="77"/>
      <c r="E6" s="77"/>
      <c r="F6" s="78"/>
    </row>
    <row r="7" spans="2:12" ht="15.75" thickBot="1" x14ac:dyDescent="0.3">
      <c r="B7" s="79"/>
      <c r="C7" s="80"/>
      <c r="D7" s="80"/>
      <c r="E7" s="80"/>
      <c r="F7" s="81"/>
    </row>
    <row r="9" spans="2:12" x14ac:dyDescent="0.25">
      <c r="I9" s="6"/>
      <c r="J9" s="6"/>
      <c r="K9" s="6"/>
      <c r="L9" s="11"/>
    </row>
    <row r="10" spans="2:12" s="6" customFormat="1" ht="30" customHeight="1" x14ac:dyDescent="0.25">
      <c r="B10" s="42" t="s">
        <v>10</v>
      </c>
      <c r="C10" s="42" t="s">
        <v>12</v>
      </c>
      <c r="D10" s="71" t="s">
        <v>50</v>
      </c>
      <c r="E10" s="71"/>
      <c r="F10" s="42" t="s">
        <v>51</v>
      </c>
      <c r="G10" s="67" t="s">
        <v>19</v>
      </c>
      <c r="H10" s="68"/>
      <c r="I10" s="67" t="s">
        <v>69</v>
      </c>
      <c r="J10" s="68"/>
      <c r="K10" s="43" t="s">
        <v>52</v>
      </c>
      <c r="L10" s="43" t="s">
        <v>37</v>
      </c>
    </row>
    <row r="11" spans="2:12" s="6" customFormat="1" x14ac:dyDescent="0.25">
      <c r="B11" s="26"/>
      <c r="C11" s="26" t="s">
        <v>40</v>
      </c>
      <c r="D11" s="72" t="s">
        <v>8</v>
      </c>
      <c r="E11" s="72"/>
      <c r="F11" s="26" t="s">
        <v>7</v>
      </c>
      <c r="G11" s="69" t="s">
        <v>68</v>
      </c>
      <c r="H11" s="70"/>
      <c r="I11" s="69" t="s">
        <v>16</v>
      </c>
      <c r="J11" s="70"/>
      <c r="K11" s="26" t="s">
        <v>28</v>
      </c>
      <c r="L11" s="26" t="s">
        <v>23</v>
      </c>
    </row>
    <row r="12" spans="2:12" s="6" customFormat="1" x14ac:dyDescent="0.25">
      <c r="B12" s="25" t="s">
        <v>11</v>
      </c>
      <c r="C12" s="25"/>
      <c r="D12" s="25" t="s">
        <v>3</v>
      </c>
      <c r="E12" s="25" t="s">
        <v>9</v>
      </c>
      <c r="F12" s="12" t="s">
        <v>13</v>
      </c>
      <c r="G12" s="12" t="s">
        <v>14</v>
      </c>
      <c r="H12" s="12" t="s">
        <v>15</v>
      </c>
      <c r="I12" s="12" t="s">
        <v>17</v>
      </c>
      <c r="J12" s="12" t="s">
        <v>18</v>
      </c>
      <c r="K12" s="25" t="s">
        <v>25</v>
      </c>
      <c r="L12" s="25" t="s">
        <v>24</v>
      </c>
    </row>
    <row r="13" spans="2:12" s="6" customFormat="1" x14ac:dyDescent="0.25">
      <c r="B13" s="5">
        <v>200</v>
      </c>
      <c r="C13" s="24">
        <f>B13/4</f>
        <v>50</v>
      </c>
      <c r="D13" s="5">
        <v>58</v>
      </c>
      <c r="E13" s="24">
        <f>D13/1000</f>
        <v>5.8000000000000003E-2</v>
      </c>
      <c r="F13" s="5">
        <v>30</v>
      </c>
      <c r="G13" s="5">
        <v>54</v>
      </c>
      <c r="H13" s="24">
        <f>G13/1000/100^2</f>
        <v>5.4E-6</v>
      </c>
      <c r="I13" s="5">
        <v>40</v>
      </c>
      <c r="J13" s="24">
        <f>I13/100</f>
        <v>0.4</v>
      </c>
      <c r="K13" s="5">
        <v>0.4</v>
      </c>
      <c r="L13" s="24">
        <f>(J13/SQRT(2))/K13</f>
        <v>0.70710678118654746</v>
      </c>
    </row>
    <row r="14" spans="2:12" s="6" customFormat="1" x14ac:dyDescent="0.25">
      <c r="L14" s="11"/>
    </row>
    <row r="15" spans="2:12" s="6" customFormat="1" x14ac:dyDescent="0.25"/>
    <row r="16" spans="2:12" s="6" customFormat="1" x14ac:dyDescent="0.25"/>
    <row r="17" spans="4:8" s="6" customFormat="1" x14ac:dyDescent="0.25">
      <c r="H17" s="11"/>
    </row>
    <row r="18" spans="4:8" s="6" customFormat="1" ht="15" customHeight="1" x14ac:dyDescent="0.25"/>
    <row r="19" spans="4:8" s="6" customFormat="1" x14ac:dyDescent="0.25"/>
    <row r="20" spans="4:8" s="6" customFormat="1" x14ac:dyDescent="0.25">
      <c r="D20" s="6" t="s">
        <v>84</v>
      </c>
      <c r="H20" s="11"/>
    </row>
    <row r="21" spans="4:8" s="6" customFormat="1" x14ac:dyDescent="0.25"/>
    <row r="22" spans="4:8" s="6" customFormat="1" ht="15" customHeight="1" x14ac:dyDescent="0.25">
      <c r="H22" s="11"/>
    </row>
    <row r="23" spans="4:8" s="6" customFormat="1" x14ac:dyDescent="0.25"/>
    <row r="24" spans="4:8" s="6" customFormat="1" x14ac:dyDescent="0.25"/>
    <row r="25" spans="4:8" s="6" customFormat="1" x14ac:dyDescent="0.25"/>
    <row r="26" spans="4:8" s="6" customFormat="1" x14ac:dyDescent="0.25"/>
    <row r="27" spans="4:8" s="6" customFormat="1" x14ac:dyDescent="0.25"/>
    <row r="28" spans="4:8" s="6" customFormat="1" x14ac:dyDescent="0.25"/>
    <row r="29" spans="4:8" s="6" customFormat="1" x14ac:dyDescent="0.25">
      <c r="F29" s="6" t="s">
        <v>84</v>
      </c>
    </row>
  </sheetData>
  <mergeCells count="7">
    <mergeCell ref="G10:H10"/>
    <mergeCell ref="G11:H11"/>
    <mergeCell ref="I10:J10"/>
    <mergeCell ref="I11:J11"/>
    <mergeCell ref="B2:F7"/>
    <mergeCell ref="D10:E10"/>
    <mergeCell ref="D11:E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439BC-EE29-46DE-B246-533E81C91B32}">
  <dimension ref="B1:G27"/>
  <sheetViews>
    <sheetView zoomScaleNormal="100" workbookViewId="0">
      <selection activeCell="E33" sqref="E33"/>
    </sheetView>
  </sheetViews>
  <sheetFormatPr baseColWidth="10" defaultRowHeight="15" x14ac:dyDescent="0.25"/>
  <cols>
    <col min="2" max="2" width="12.140625" customWidth="1"/>
    <col min="3" max="6" width="13" customWidth="1"/>
  </cols>
  <sheetData>
    <row r="1" spans="2:7" ht="15.75" thickBot="1" x14ac:dyDescent="0.3"/>
    <row r="2" spans="2:7" ht="15" customHeight="1" x14ac:dyDescent="0.25">
      <c r="B2" s="73" t="s">
        <v>81</v>
      </c>
      <c r="C2" s="82"/>
      <c r="D2" s="82"/>
      <c r="E2" s="82"/>
      <c r="F2" s="82"/>
      <c r="G2" s="83"/>
    </row>
    <row r="3" spans="2:7" x14ac:dyDescent="0.25">
      <c r="B3" s="84"/>
      <c r="C3" s="85"/>
      <c r="D3" s="85"/>
      <c r="E3" s="85"/>
      <c r="F3" s="85"/>
      <c r="G3" s="86"/>
    </row>
    <row r="4" spans="2:7" x14ac:dyDescent="0.25">
      <c r="B4" s="84"/>
      <c r="C4" s="85"/>
      <c r="D4" s="85"/>
      <c r="E4" s="85"/>
      <c r="F4" s="85"/>
      <c r="G4" s="86"/>
    </row>
    <row r="5" spans="2:7" x14ac:dyDescent="0.25">
      <c r="B5" s="84"/>
      <c r="C5" s="85"/>
      <c r="D5" s="85"/>
      <c r="E5" s="85"/>
      <c r="F5" s="85"/>
      <c r="G5" s="86"/>
    </row>
    <row r="6" spans="2:7" x14ac:dyDescent="0.25">
      <c r="B6" s="84"/>
      <c r="C6" s="85"/>
      <c r="D6" s="85"/>
      <c r="E6" s="85"/>
      <c r="F6" s="85"/>
      <c r="G6" s="86"/>
    </row>
    <row r="7" spans="2:7" x14ac:dyDescent="0.25">
      <c r="B7" s="84"/>
      <c r="C7" s="85"/>
      <c r="D7" s="85"/>
      <c r="E7" s="85"/>
      <c r="F7" s="85"/>
      <c r="G7" s="86"/>
    </row>
    <row r="8" spans="2:7" x14ac:dyDescent="0.25">
      <c r="B8" s="84"/>
      <c r="C8" s="85"/>
      <c r="D8" s="85"/>
      <c r="E8" s="85"/>
      <c r="F8" s="85"/>
      <c r="G8" s="86"/>
    </row>
    <row r="9" spans="2:7" ht="15.75" thickBot="1" x14ac:dyDescent="0.3">
      <c r="B9" s="87"/>
      <c r="C9" s="88"/>
      <c r="D9" s="88"/>
      <c r="E9" s="88"/>
      <c r="F9" s="88"/>
      <c r="G9" s="89"/>
    </row>
    <row r="10" spans="2:7" s="6" customFormat="1" x14ac:dyDescent="0.25"/>
    <row r="11" spans="2:7" s="6" customFormat="1" x14ac:dyDescent="0.25">
      <c r="C11" s="90" t="s">
        <v>0</v>
      </c>
      <c r="D11" s="90"/>
      <c r="E11" s="90"/>
      <c r="F11" s="90"/>
    </row>
    <row r="12" spans="2:7" s="6" customFormat="1" x14ac:dyDescent="0.25">
      <c r="C12" s="91" t="s">
        <v>53</v>
      </c>
      <c r="D12" s="91"/>
      <c r="E12" s="91" t="s">
        <v>54</v>
      </c>
      <c r="F12" s="91"/>
    </row>
    <row r="13" spans="2:7" s="6" customFormat="1" x14ac:dyDescent="0.25">
      <c r="C13" s="1" t="s">
        <v>2</v>
      </c>
      <c r="D13" s="1" t="s">
        <v>1</v>
      </c>
      <c r="E13" s="1" t="s">
        <v>2</v>
      </c>
      <c r="F13" s="1" t="s">
        <v>1</v>
      </c>
    </row>
    <row r="14" spans="2:7" s="6" customFormat="1" x14ac:dyDescent="0.25">
      <c r="B14" s="1" t="s">
        <v>6</v>
      </c>
      <c r="C14" s="1" t="s">
        <v>4</v>
      </c>
      <c r="D14" s="1" t="s">
        <v>3</v>
      </c>
      <c r="E14" s="1" t="s">
        <v>4</v>
      </c>
      <c r="F14" s="1" t="s">
        <v>3</v>
      </c>
    </row>
    <row r="15" spans="2:7" s="6" customFormat="1" x14ac:dyDescent="0.25">
      <c r="B15" s="1">
        <v>1</v>
      </c>
      <c r="C15" s="5">
        <v>29.2</v>
      </c>
      <c r="D15" s="5">
        <v>51</v>
      </c>
      <c r="E15" s="5">
        <v>29.4</v>
      </c>
      <c r="F15" s="5">
        <v>52.15</v>
      </c>
    </row>
    <row r="16" spans="2:7" s="6" customFormat="1" x14ac:dyDescent="0.25">
      <c r="B16" s="1">
        <v>2</v>
      </c>
      <c r="C16" s="5">
        <v>29.2</v>
      </c>
      <c r="D16" s="5">
        <v>50.64</v>
      </c>
      <c r="E16" s="5">
        <v>29.4</v>
      </c>
      <c r="F16" s="5">
        <v>52.1</v>
      </c>
    </row>
    <row r="17" spans="2:7" s="6" customFormat="1" x14ac:dyDescent="0.25">
      <c r="B17" s="1">
        <v>3</v>
      </c>
      <c r="C17" s="5">
        <v>29.4</v>
      </c>
      <c r="D17" s="5">
        <v>51.27</v>
      </c>
      <c r="E17" s="5">
        <v>29.4</v>
      </c>
      <c r="F17" s="5">
        <v>51.14</v>
      </c>
    </row>
    <row r="18" spans="2:7" s="6" customFormat="1" x14ac:dyDescent="0.25">
      <c r="B18" s="1">
        <v>4</v>
      </c>
      <c r="C18" s="5">
        <v>29.2</v>
      </c>
      <c r="D18" s="5">
        <v>52.15</v>
      </c>
      <c r="E18" s="5">
        <v>29.4</v>
      </c>
      <c r="F18" s="5">
        <v>52.25</v>
      </c>
    </row>
    <row r="19" spans="2:7" s="6" customFormat="1" x14ac:dyDescent="0.25">
      <c r="B19" s="1">
        <v>5</v>
      </c>
      <c r="C19" s="5">
        <v>29.2</v>
      </c>
      <c r="D19" s="5">
        <v>51.14</v>
      </c>
      <c r="E19" s="5">
        <v>29.4</v>
      </c>
      <c r="F19" s="5">
        <v>52.3</v>
      </c>
    </row>
    <row r="20" spans="2:7" s="6" customFormat="1" x14ac:dyDescent="0.25">
      <c r="B20" s="1">
        <v>6</v>
      </c>
      <c r="C20" s="5">
        <v>29.4</v>
      </c>
      <c r="D20" s="5">
        <v>51.5</v>
      </c>
      <c r="E20" s="5">
        <v>29.4</v>
      </c>
      <c r="F20" s="5">
        <v>51.27</v>
      </c>
    </row>
    <row r="21" spans="2:7" s="6" customFormat="1" x14ac:dyDescent="0.25"/>
    <row r="22" spans="2:7" s="6" customFormat="1" x14ac:dyDescent="0.25">
      <c r="C22" s="90" t="s">
        <v>38</v>
      </c>
      <c r="D22" s="90"/>
      <c r="F22" s="90" t="s">
        <v>39</v>
      </c>
      <c r="G22" s="90"/>
    </row>
    <row r="23" spans="2:7" s="6" customFormat="1" x14ac:dyDescent="0.25">
      <c r="C23" s="1" t="s">
        <v>48</v>
      </c>
      <c r="D23" s="1" t="s">
        <v>112</v>
      </c>
      <c r="F23" s="19" t="s">
        <v>48</v>
      </c>
      <c r="G23" s="19" t="s">
        <v>112</v>
      </c>
    </row>
    <row r="24" spans="2:7" s="6" customFormat="1" x14ac:dyDescent="0.25">
      <c r="C24" s="1" t="s">
        <v>4</v>
      </c>
      <c r="D24" s="1" t="s">
        <v>3</v>
      </c>
      <c r="F24" s="1" t="s">
        <v>4</v>
      </c>
      <c r="G24" s="1" t="s">
        <v>3</v>
      </c>
    </row>
    <row r="25" spans="2:7" s="6" customFormat="1" x14ac:dyDescent="0.25">
      <c r="B25" s="1" t="s">
        <v>5</v>
      </c>
      <c r="C25" s="3">
        <f>AVERAGE(C15:C20,E15:E20)</f>
        <v>29.333333333333329</v>
      </c>
      <c r="D25" s="3">
        <f>AVERAGE(D15:D20,F15:F20)</f>
        <v>51.575833333333321</v>
      </c>
      <c r="F25" s="49">
        <f>'Données constructeur'!F13</f>
        <v>30</v>
      </c>
      <c r="G25" s="49">
        <f>'Données constructeur'!D13</f>
        <v>58</v>
      </c>
    </row>
    <row r="26" spans="2:7" s="6" customFormat="1" x14ac:dyDescent="0.25"/>
    <row r="27" spans="2:7" s="6" customFormat="1" x14ac:dyDescent="0.25"/>
  </sheetData>
  <mergeCells count="6">
    <mergeCell ref="B2:G9"/>
    <mergeCell ref="C11:F11"/>
    <mergeCell ref="C12:D12"/>
    <mergeCell ref="E12:F12"/>
    <mergeCell ref="C22:D22"/>
    <mergeCell ref="F22:G2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E4DE1-7ED7-4D69-8A1B-B10518512BAB}">
  <dimension ref="B1:G31"/>
  <sheetViews>
    <sheetView tabSelected="1" workbookViewId="0">
      <selection activeCell="K12" sqref="K12"/>
    </sheetView>
  </sheetViews>
  <sheetFormatPr baseColWidth="10" defaultRowHeight="15" x14ac:dyDescent="0.25"/>
  <cols>
    <col min="2" max="2" width="19.85546875" customWidth="1"/>
    <col min="3" max="3" width="24.7109375" customWidth="1"/>
    <col min="4" max="4" width="20.140625" customWidth="1"/>
    <col min="5" max="5" width="18.5703125" bestFit="1" customWidth="1"/>
    <col min="6" max="6" width="20.5703125" customWidth="1"/>
    <col min="7" max="7" width="20.140625" bestFit="1" customWidth="1"/>
    <col min="8" max="8" width="12.28515625" customWidth="1"/>
    <col min="9" max="9" width="14.85546875" customWidth="1"/>
  </cols>
  <sheetData>
    <row r="1" spans="2:6" ht="15.75" thickBot="1" x14ac:dyDescent="0.3"/>
    <row r="2" spans="2:6" x14ac:dyDescent="0.25">
      <c r="B2" s="73" t="s">
        <v>113</v>
      </c>
      <c r="C2" s="74"/>
      <c r="D2" s="74"/>
      <c r="E2" s="74"/>
      <c r="F2" s="75"/>
    </row>
    <row r="3" spans="2:6" x14ac:dyDescent="0.25">
      <c r="B3" s="76"/>
      <c r="C3" s="77"/>
      <c r="D3" s="77"/>
      <c r="E3" s="77"/>
      <c r="F3" s="78"/>
    </row>
    <row r="4" spans="2:6" x14ac:dyDescent="0.25">
      <c r="B4" s="76"/>
      <c r="C4" s="77"/>
      <c r="D4" s="77"/>
      <c r="E4" s="77"/>
      <c r="F4" s="78"/>
    </row>
    <row r="5" spans="2:6" x14ac:dyDescent="0.25">
      <c r="B5" s="76"/>
      <c r="C5" s="77"/>
      <c r="D5" s="77"/>
      <c r="E5" s="77"/>
      <c r="F5" s="78"/>
    </row>
    <row r="6" spans="2:6" x14ac:dyDescent="0.25">
      <c r="B6" s="76"/>
      <c r="C6" s="77"/>
      <c r="D6" s="77"/>
      <c r="E6" s="77"/>
      <c r="F6" s="78"/>
    </row>
    <row r="7" spans="2:6" x14ac:dyDescent="0.25">
      <c r="B7" s="76"/>
      <c r="C7" s="77"/>
      <c r="D7" s="77"/>
      <c r="E7" s="77"/>
      <c r="F7" s="78"/>
    </row>
    <row r="8" spans="2:6" x14ac:dyDescent="0.25">
      <c r="B8" s="76"/>
      <c r="C8" s="77"/>
      <c r="D8" s="77"/>
      <c r="E8" s="77"/>
      <c r="F8" s="78"/>
    </row>
    <row r="9" spans="2:6" ht="15.75" thickBot="1" x14ac:dyDescent="0.3">
      <c r="B9" s="79"/>
      <c r="C9" s="80"/>
      <c r="D9" s="80"/>
      <c r="E9" s="80"/>
      <c r="F9" s="81"/>
    </row>
    <row r="11" spans="2:6" s="6" customFormat="1" x14ac:dyDescent="0.25">
      <c r="B11" s="92" t="s">
        <v>41</v>
      </c>
      <c r="C11" s="93"/>
    </row>
    <row r="12" spans="2:6" s="6" customFormat="1" x14ac:dyDescent="0.25">
      <c r="B12" s="1" t="s">
        <v>45</v>
      </c>
      <c r="C12" s="1" t="s">
        <v>49</v>
      </c>
      <c r="D12" s="72" t="s">
        <v>31</v>
      </c>
      <c r="E12" s="72"/>
    </row>
    <row r="13" spans="2:6" s="6" customFormat="1" x14ac:dyDescent="0.25">
      <c r="B13" s="7" t="s">
        <v>25</v>
      </c>
      <c r="C13" s="7" t="s">
        <v>25</v>
      </c>
      <c r="D13" s="7" t="s">
        <v>32</v>
      </c>
      <c r="E13" s="7" t="s">
        <v>42</v>
      </c>
    </row>
    <row r="14" spans="2:6" s="6" customFormat="1" x14ac:dyDescent="0.25">
      <c r="B14" s="5">
        <f>0.36+0.345</f>
        <v>0.70499999999999996</v>
      </c>
      <c r="C14" s="8">
        <f>B14/2</f>
        <v>0.35249999999999998</v>
      </c>
      <c r="D14" s="5">
        <v>340</v>
      </c>
      <c r="E14" s="8">
        <f>D14/1000</f>
        <v>0.34</v>
      </c>
    </row>
    <row r="15" spans="2:6" s="6" customFormat="1" x14ac:dyDescent="0.25"/>
    <row r="16" spans="2:6" s="6" customFormat="1" x14ac:dyDescent="0.25">
      <c r="C16" s="94" t="s">
        <v>43</v>
      </c>
      <c r="D16" s="35" t="s">
        <v>70</v>
      </c>
      <c r="E16" s="35" t="s">
        <v>70</v>
      </c>
      <c r="F16" s="37" t="s">
        <v>22</v>
      </c>
    </row>
    <row r="17" spans="2:7" s="6" customFormat="1" x14ac:dyDescent="0.25">
      <c r="C17" s="69"/>
      <c r="D17" s="36" t="s">
        <v>33</v>
      </c>
      <c r="E17" s="36" t="s">
        <v>34</v>
      </c>
      <c r="F17" s="34" t="s">
        <v>71</v>
      </c>
    </row>
    <row r="18" spans="2:7" s="6" customFormat="1" x14ac:dyDescent="0.25">
      <c r="B18" s="1" t="s">
        <v>6</v>
      </c>
      <c r="C18" s="1" t="s">
        <v>30</v>
      </c>
      <c r="D18" s="20" t="s">
        <v>18</v>
      </c>
      <c r="E18" s="20" t="s">
        <v>18</v>
      </c>
      <c r="F18" s="34" t="s">
        <v>24</v>
      </c>
    </row>
    <row r="19" spans="2:7" s="6" customFormat="1" x14ac:dyDescent="0.25">
      <c r="B19" s="1">
        <v>1</v>
      </c>
      <c r="C19" s="5">
        <v>125</v>
      </c>
      <c r="D19" s="8">
        <f>$E$14*10*C19/1000</f>
        <v>0.42500000000000004</v>
      </c>
      <c r="E19" s="8">
        <f>D19/SQRT(2)</f>
        <v>0.30052038200428272</v>
      </c>
      <c r="F19" s="8">
        <f t="shared" ref="F19:F24" si="0">E19/$C$14</f>
        <v>0.85254009079229143</v>
      </c>
    </row>
    <row r="20" spans="2:7" s="6" customFormat="1" x14ac:dyDescent="0.25">
      <c r="B20" s="1">
        <v>2</v>
      </c>
      <c r="C20" s="5">
        <v>125</v>
      </c>
      <c r="D20" s="49">
        <f t="shared" ref="D20:D24" si="1">$E$14*10*C20/1000</f>
        <v>0.42500000000000004</v>
      </c>
      <c r="E20" s="49">
        <f t="shared" ref="E20:E24" si="2">D20/SQRT(2)</f>
        <v>0.30052038200428272</v>
      </c>
      <c r="F20" s="49">
        <f t="shared" si="0"/>
        <v>0.85254009079229143</v>
      </c>
    </row>
    <row r="21" spans="2:7" s="6" customFormat="1" ht="15" customHeight="1" x14ac:dyDescent="0.25">
      <c r="B21" s="1">
        <v>3</v>
      </c>
      <c r="C21" s="5">
        <v>125</v>
      </c>
      <c r="D21" s="49">
        <f t="shared" si="1"/>
        <v>0.42500000000000004</v>
      </c>
      <c r="E21" s="49">
        <f t="shared" si="2"/>
        <v>0.30052038200428272</v>
      </c>
      <c r="F21" s="49">
        <f t="shared" si="0"/>
        <v>0.85254009079229143</v>
      </c>
    </row>
    <row r="22" spans="2:7" s="6" customFormat="1" x14ac:dyDescent="0.25">
      <c r="B22" s="1">
        <v>4</v>
      </c>
      <c r="C22" s="5">
        <v>125</v>
      </c>
      <c r="D22" s="49">
        <f t="shared" si="1"/>
        <v>0.42500000000000004</v>
      </c>
      <c r="E22" s="49">
        <f t="shared" si="2"/>
        <v>0.30052038200428272</v>
      </c>
      <c r="F22" s="49">
        <f t="shared" si="0"/>
        <v>0.85254009079229143</v>
      </c>
    </row>
    <row r="23" spans="2:7" s="6" customFormat="1" x14ac:dyDescent="0.25">
      <c r="B23" s="1">
        <v>5</v>
      </c>
      <c r="C23" s="5">
        <v>125</v>
      </c>
      <c r="D23" s="49">
        <f t="shared" si="1"/>
        <v>0.42500000000000004</v>
      </c>
      <c r="E23" s="49">
        <f t="shared" si="2"/>
        <v>0.30052038200428272</v>
      </c>
      <c r="F23" s="49">
        <f t="shared" si="0"/>
        <v>0.85254009079229143</v>
      </c>
    </row>
    <row r="24" spans="2:7" s="6" customFormat="1" x14ac:dyDescent="0.25">
      <c r="B24" s="1">
        <v>6</v>
      </c>
      <c r="C24" s="5">
        <v>125</v>
      </c>
      <c r="D24" s="49">
        <f t="shared" si="1"/>
        <v>0.42500000000000004</v>
      </c>
      <c r="E24" s="49">
        <f t="shared" si="2"/>
        <v>0.30052038200428272</v>
      </c>
      <c r="F24" s="49">
        <f t="shared" si="0"/>
        <v>0.85254009079229143</v>
      </c>
    </row>
    <row r="25" spans="2:7" s="6" customFormat="1" x14ac:dyDescent="0.25"/>
    <row r="26" spans="2:7" s="6" customFormat="1" x14ac:dyDescent="0.25">
      <c r="C26" s="90" t="s">
        <v>38</v>
      </c>
      <c r="D26" s="90"/>
      <c r="F26" s="90" t="s">
        <v>39</v>
      </c>
      <c r="G26" s="90"/>
    </row>
    <row r="27" spans="2:7" s="6" customFormat="1" x14ac:dyDescent="0.25">
      <c r="C27" s="26" t="s">
        <v>46</v>
      </c>
      <c r="D27" s="1" t="s">
        <v>47</v>
      </c>
      <c r="F27" s="19" t="s">
        <v>46</v>
      </c>
      <c r="G27" s="19" t="s">
        <v>47</v>
      </c>
    </row>
    <row r="28" spans="2:7" s="6" customFormat="1" x14ac:dyDescent="0.25">
      <c r="C28" s="1" t="s">
        <v>18</v>
      </c>
      <c r="D28" s="1" t="s">
        <v>24</v>
      </c>
      <c r="F28" s="1" t="s">
        <v>18</v>
      </c>
      <c r="G28" s="1" t="s">
        <v>24</v>
      </c>
    </row>
    <row r="29" spans="2:7" s="6" customFormat="1" x14ac:dyDescent="0.25">
      <c r="B29" s="13" t="s">
        <v>5</v>
      </c>
      <c r="C29" s="4">
        <f>AVERAGE(D19:D24)</f>
        <v>0.42499999999999999</v>
      </c>
      <c r="D29" s="4">
        <f>AVERAGE(F19:F24)</f>
        <v>0.85254009079229143</v>
      </c>
      <c r="F29" s="49">
        <f>'Données constructeur'!J13</f>
        <v>0.4</v>
      </c>
      <c r="G29" s="4">
        <f>'Données constructeur'!L13</f>
        <v>0.70710678118654746</v>
      </c>
    </row>
    <row r="30" spans="2:7" s="6" customFormat="1" x14ac:dyDescent="0.25"/>
    <row r="31" spans="2:7" s="6" customFormat="1" x14ac:dyDescent="0.25"/>
  </sheetData>
  <mergeCells count="6">
    <mergeCell ref="B2:F9"/>
    <mergeCell ref="F26:G26"/>
    <mergeCell ref="C26:D26"/>
    <mergeCell ref="B11:C11"/>
    <mergeCell ref="D12:E12"/>
    <mergeCell ref="C16:C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442E9-6F9A-4F55-8F18-2AE8CB1EBCDE}">
  <dimension ref="A1:Q32"/>
  <sheetViews>
    <sheetView workbookViewId="0">
      <selection activeCell="D21" sqref="D21"/>
    </sheetView>
  </sheetViews>
  <sheetFormatPr baseColWidth="10" defaultRowHeight="15" x14ac:dyDescent="0.25"/>
  <cols>
    <col min="3" max="3" width="16.7109375" customWidth="1"/>
    <col min="4" max="4" width="15.7109375" customWidth="1"/>
    <col min="5" max="5" width="16.85546875" customWidth="1"/>
  </cols>
  <sheetData>
    <row r="1" spans="1:17" ht="15.75" thickBot="1" x14ac:dyDescent="0.3"/>
    <row r="2" spans="1:17" x14ac:dyDescent="0.25">
      <c r="B2" s="73" t="s">
        <v>94</v>
      </c>
      <c r="C2" s="74"/>
      <c r="D2" s="74"/>
      <c r="E2" s="74"/>
      <c r="F2" s="75"/>
    </row>
    <row r="3" spans="1:17" x14ac:dyDescent="0.25">
      <c r="B3" s="76"/>
      <c r="C3" s="77"/>
      <c r="D3" s="77"/>
      <c r="E3" s="77"/>
      <c r="F3" s="78"/>
    </row>
    <row r="4" spans="1:17" x14ac:dyDescent="0.25">
      <c r="B4" s="76"/>
      <c r="C4" s="77"/>
      <c r="D4" s="77"/>
      <c r="E4" s="77"/>
      <c r="F4" s="78"/>
    </row>
    <row r="5" spans="1:17" x14ac:dyDescent="0.25">
      <c r="B5" s="76"/>
      <c r="C5" s="77"/>
      <c r="D5" s="77"/>
      <c r="E5" s="77"/>
      <c r="F5" s="78"/>
    </row>
    <row r="6" spans="1:17" x14ac:dyDescent="0.25">
      <c r="B6" s="76"/>
      <c r="C6" s="77"/>
      <c r="D6" s="77"/>
      <c r="E6" s="77"/>
      <c r="F6" s="78"/>
    </row>
    <row r="7" spans="1:17" x14ac:dyDescent="0.25">
      <c r="B7" s="76"/>
      <c r="C7" s="77"/>
      <c r="D7" s="77"/>
      <c r="E7" s="77"/>
      <c r="F7" s="78"/>
    </row>
    <row r="8" spans="1:17" x14ac:dyDescent="0.25">
      <c r="B8" s="76"/>
      <c r="C8" s="77"/>
      <c r="D8" s="77"/>
      <c r="E8" s="77"/>
      <c r="F8" s="78"/>
    </row>
    <row r="9" spans="1:17" ht="15.75" thickBot="1" x14ac:dyDescent="0.3">
      <c r="B9" s="79"/>
      <c r="C9" s="80"/>
      <c r="D9" s="80"/>
      <c r="E9" s="80"/>
      <c r="F9" s="81"/>
    </row>
    <row r="10" spans="1:17" s="6" customFormat="1" x14ac:dyDescent="0.25"/>
    <row r="11" spans="1:17" s="6" customFormat="1" x14ac:dyDescent="0.25">
      <c r="C11" s="95" t="s">
        <v>26</v>
      </c>
      <c r="D11" s="95"/>
      <c r="E11" s="95"/>
    </row>
    <row r="12" spans="1:17" s="6" customFormat="1" x14ac:dyDescent="0.25">
      <c r="C12" s="1" t="s">
        <v>7</v>
      </c>
      <c r="D12" s="1" t="s">
        <v>8</v>
      </c>
      <c r="E12" s="1" t="s">
        <v>23</v>
      </c>
    </row>
    <row r="13" spans="1:17" s="6" customFormat="1" x14ac:dyDescent="0.25">
      <c r="C13" s="2" t="s">
        <v>13</v>
      </c>
      <c r="D13" s="1" t="s">
        <v>9</v>
      </c>
      <c r="E13" s="1" t="s">
        <v>24</v>
      </c>
    </row>
    <row r="14" spans="1:17" s="6" customFormat="1" x14ac:dyDescent="0.25">
      <c r="C14" s="16">
        <f>'Détermination de R et L'!C25</f>
        <v>29.333333333333329</v>
      </c>
      <c r="D14" s="17">
        <f>'Détermination de R et L'!D25/1000</f>
        <v>5.1575833333333321E-2</v>
      </c>
      <c r="E14" s="18">
        <f>'Détermination de k (méca) et Cm'!D29</f>
        <v>0.85254009079229143</v>
      </c>
    </row>
    <row r="15" spans="1:17" s="6" customFormat="1" x14ac:dyDescent="0.25">
      <c r="A15" s="72" t="s">
        <v>44</v>
      </c>
      <c r="B15" s="72"/>
      <c r="C15" s="49">
        <f>'Données constructeur'!F13</f>
        <v>30</v>
      </c>
      <c r="D15" s="49">
        <f>'Données constructeur'!E13</f>
        <v>5.8000000000000003E-2</v>
      </c>
      <c r="E15" s="49">
        <f>'Données constructeur'!L13</f>
        <v>0.70710678118654746</v>
      </c>
      <c r="Q15" s="15"/>
    </row>
    <row r="16" spans="1:17" s="6" customFormat="1" x14ac:dyDescent="0.25">
      <c r="Q16" s="15"/>
    </row>
    <row r="17" spans="1:4" s="6" customFormat="1" x14ac:dyDescent="0.25">
      <c r="C17" s="96" t="s">
        <v>27</v>
      </c>
      <c r="D17" s="97"/>
    </row>
    <row r="18" spans="1:4" s="6" customFormat="1" x14ac:dyDescent="0.25">
      <c r="C18" s="98" t="s">
        <v>85</v>
      </c>
      <c r="D18" s="98" t="s">
        <v>86</v>
      </c>
    </row>
    <row r="19" spans="1:4" s="6" customFormat="1" x14ac:dyDescent="0.25">
      <c r="C19" s="99"/>
      <c r="D19" s="99"/>
    </row>
    <row r="20" spans="1:4" s="6" customFormat="1" x14ac:dyDescent="0.25">
      <c r="C20" s="34" t="s">
        <v>25</v>
      </c>
      <c r="D20" s="34" t="s">
        <v>18</v>
      </c>
    </row>
    <row r="21" spans="1:4" s="6" customFormat="1" x14ac:dyDescent="0.25">
      <c r="C21" s="8">
        <f>'Détermination de k (méca) et Cm'!C14</f>
        <v>0.35249999999999998</v>
      </c>
      <c r="D21" s="4">
        <f>'Détermination de k (méca) et Cm'!C29</f>
        <v>0.42499999999999999</v>
      </c>
    </row>
    <row r="22" spans="1:4" s="6" customFormat="1" x14ac:dyDescent="0.25">
      <c r="A22" s="72" t="s">
        <v>44</v>
      </c>
      <c r="B22" s="72"/>
      <c r="C22" s="49">
        <f>'Données constructeur'!K13</f>
        <v>0.4</v>
      </c>
      <c r="D22" s="49">
        <f>'Données constructeur'!J13</f>
        <v>0.4</v>
      </c>
    </row>
    <row r="23" spans="1:4" s="6" customFormat="1" x14ac:dyDescent="0.25"/>
    <row r="24" spans="1:4" s="6" customFormat="1" x14ac:dyDescent="0.25"/>
    <row r="25" spans="1:4" s="6" customFormat="1" x14ac:dyDescent="0.25"/>
    <row r="26" spans="1:4" s="6" customFormat="1" x14ac:dyDescent="0.25"/>
    <row r="27" spans="1:4" s="6" customFormat="1" x14ac:dyDescent="0.25"/>
    <row r="28" spans="1:4" s="6" customFormat="1" x14ac:dyDescent="0.25"/>
    <row r="29" spans="1:4" s="6" customFormat="1" x14ac:dyDescent="0.25">
      <c r="C29" s="95" t="s">
        <v>35</v>
      </c>
      <c r="D29" s="95"/>
    </row>
    <row r="30" spans="1:4" s="6" customFormat="1" x14ac:dyDescent="0.25">
      <c r="C30" s="23" t="s">
        <v>16</v>
      </c>
      <c r="D30" s="23" t="s">
        <v>36</v>
      </c>
    </row>
    <row r="31" spans="1:4" x14ac:dyDescent="0.25">
      <c r="C31" s="23" t="s">
        <v>18</v>
      </c>
      <c r="D31" s="23" t="s">
        <v>78</v>
      </c>
    </row>
    <row r="32" spans="1:4" x14ac:dyDescent="0.25">
      <c r="C32" s="5">
        <v>0.42399999999999999</v>
      </c>
      <c r="D32" s="14">
        <f>ABS(D21-C32)/D21</f>
        <v>2.3529411764705902E-3</v>
      </c>
    </row>
  </sheetData>
  <mergeCells count="8">
    <mergeCell ref="B2:F9"/>
    <mergeCell ref="C11:E11"/>
    <mergeCell ref="C17:D17"/>
    <mergeCell ref="C29:D29"/>
    <mergeCell ref="A15:B15"/>
    <mergeCell ref="A22:B22"/>
    <mergeCell ref="C18:C19"/>
    <mergeCell ref="D18:D1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842AD-25E9-428C-ABC8-1EFF55406466}">
  <dimension ref="B1:Q67"/>
  <sheetViews>
    <sheetView topLeftCell="A27" zoomScaleNormal="100" workbookViewId="0">
      <selection activeCell="D60" sqref="D60"/>
    </sheetView>
  </sheetViews>
  <sheetFormatPr baseColWidth="10" defaultRowHeight="15" x14ac:dyDescent="0.25"/>
  <cols>
    <col min="2" max="2" width="18.85546875" customWidth="1"/>
    <col min="3" max="3" width="14.5703125" bestFit="1" customWidth="1"/>
    <col min="4" max="4" width="16.28515625" customWidth="1"/>
    <col min="5" max="5" width="13" customWidth="1"/>
    <col min="6" max="6" width="15.7109375" customWidth="1"/>
    <col min="7" max="7" width="15.140625" customWidth="1"/>
  </cols>
  <sheetData>
    <row r="1" spans="2:14" ht="15.75" thickBot="1" x14ac:dyDescent="0.3"/>
    <row r="2" spans="2:14" x14ac:dyDescent="0.25">
      <c r="B2" s="73" t="s">
        <v>96</v>
      </c>
      <c r="C2" s="74"/>
      <c r="D2" s="74"/>
      <c r="E2" s="74"/>
      <c r="F2" s="75"/>
      <c r="I2" s="6"/>
      <c r="J2" s="6"/>
      <c r="K2" s="6"/>
      <c r="L2" s="6"/>
      <c r="M2" s="6"/>
      <c r="N2" s="6"/>
    </row>
    <row r="3" spans="2:14" x14ac:dyDescent="0.25">
      <c r="B3" s="76"/>
      <c r="C3" s="77"/>
      <c r="D3" s="77"/>
      <c r="E3" s="77"/>
      <c r="F3" s="78"/>
    </row>
    <row r="4" spans="2:14" x14ac:dyDescent="0.25">
      <c r="B4" s="76"/>
      <c r="C4" s="77"/>
      <c r="D4" s="77"/>
      <c r="E4" s="77"/>
      <c r="F4" s="78"/>
    </row>
    <row r="5" spans="2:14" x14ac:dyDescent="0.25">
      <c r="B5" s="76"/>
      <c r="C5" s="77"/>
      <c r="D5" s="77"/>
      <c r="E5" s="77"/>
      <c r="F5" s="78"/>
    </row>
    <row r="6" spans="2:14" x14ac:dyDescent="0.25">
      <c r="B6" s="76"/>
      <c r="C6" s="77"/>
      <c r="D6" s="77"/>
      <c r="E6" s="77"/>
      <c r="F6" s="78"/>
    </row>
    <row r="7" spans="2:14" x14ac:dyDescent="0.25">
      <c r="B7" s="76"/>
      <c r="C7" s="77"/>
      <c r="D7" s="77"/>
      <c r="E7" s="77"/>
      <c r="F7" s="78"/>
    </row>
    <row r="8" spans="2:14" x14ac:dyDescent="0.25">
      <c r="B8" s="76"/>
      <c r="C8" s="77"/>
      <c r="D8" s="77"/>
      <c r="E8" s="77"/>
      <c r="F8" s="78"/>
    </row>
    <row r="9" spans="2:14" ht="15.75" thickBot="1" x14ac:dyDescent="0.3">
      <c r="B9" s="79"/>
      <c r="C9" s="80"/>
      <c r="D9" s="80"/>
      <c r="E9" s="80"/>
      <c r="F9" s="81"/>
    </row>
    <row r="10" spans="2:14" s="6" customFormat="1" x14ac:dyDescent="0.25"/>
    <row r="11" spans="2:14" s="6" customFormat="1" x14ac:dyDescent="0.25">
      <c r="B11" s="100" t="s">
        <v>91</v>
      </c>
      <c r="C11" s="100"/>
      <c r="D11" s="100"/>
    </row>
    <row r="12" spans="2:14" s="6" customFormat="1" x14ac:dyDescent="0.25">
      <c r="B12" s="101" t="s">
        <v>67</v>
      </c>
      <c r="C12" s="101"/>
      <c r="D12" s="101"/>
      <c r="H12"/>
      <c r="I12"/>
      <c r="J12"/>
      <c r="K12"/>
      <c r="L12"/>
      <c r="M12"/>
    </row>
    <row r="13" spans="2:14" s="6" customFormat="1" x14ac:dyDescent="0.25">
      <c r="B13" s="32" t="s">
        <v>23</v>
      </c>
      <c r="C13" s="31">
        <v>0.23913000000000001</v>
      </c>
      <c r="D13" s="27" t="s">
        <v>66</v>
      </c>
      <c r="E13"/>
      <c r="F13"/>
      <c r="H13"/>
      <c r="I13" s="33"/>
      <c r="J13" s="33"/>
      <c r="K13" s="33"/>
      <c r="L13" s="33"/>
      <c r="M13" s="33"/>
    </row>
    <row r="14" spans="2:14" s="6" customFormat="1" x14ac:dyDescent="0.25">
      <c r="B14" s="32" t="s">
        <v>57</v>
      </c>
      <c r="C14" s="31">
        <v>1.239E-2</v>
      </c>
      <c r="D14" s="27" t="s">
        <v>18</v>
      </c>
      <c r="E14"/>
      <c r="F14"/>
      <c r="H14"/>
      <c r="I14"/>
      <c r="J14"/>
      <c r="K14"/>
      <c r="L14"/>
      <c r="M14"/>
    </row>
    <row r="15" spans="2:14" s="6" customFormat="1" x14ac:dyDescent="0.25">
      <c r="B15" s="32" t="s">
        <v>56</v>
      </c>
      <c r="C15" s="31">
        <v>8.3778620304369959E-5</v>
      </c>
      <c r="D15" s="27" t="s">
        <v>55</v>
      </c>
      <c r="E15"/>
      <c r="F15"/>
      <c r="H15"/>
      <c r="I15"/>
      <c r="J15"/>
      <c r="K15"/>
      <c r="L15"/>
      <c r="M15"/>
    </row>
    <row r="16" spans="2:14" s="6" customFormat="1" x14ac:dyDescent="0.25">
      <c r="B16" s="32" t="s">
        <v>65</v>
      </c>
      <c r="C16" s="31">
        <v>2.2358799999999999E-4</v>
      </c>
      <c r="D16" s="27" t="s">
        <v>15</v>
      </c>
      <c r="E16"/>
      <c r="F16"/>
      <c r="G16"/>
      <c r="I16"/>
      <c r="J16"/>
      <c r="K16"/>
      <c r="L16"/>
      <c r="M16"/>
      <c r="N16"/>
    </row>
    <row r="17" spans="2:17" s="6" customFormat="1" x14ac:dyDescent="0.25">
      <c r="I17"/>
      <c r="J17"/>
      <c r="K17"/>
      <c r="L17"/>
      <c r="M17"/>
      <c r="N17"/>
    </row>
    <row r="18" spans="2:17" s="6" customFormat="1" x14ac:dyDescent="0.25">
      <c r="I18"/>
      <c r="J18"/>
      <c r="K18"/>
      <c r="L18"/>
      <c r="M18"/>
      <c r="N18"/>
    </row>
    <row r="19" spans="2:17" s="6" customFormat="1" x14ac:dyDescent="0.25">
      <c r="C19" s="90" t="s">
        <v>64</v>
      </c>
      <c r="D19" s="90"/>
      <c r="E19" s="90"/>
      <c r="F19" s="90"/>
      <c r="G19" s="90"/>
      <c r="H19" s="90"/>
      <c r="I19"/>
      <c r="J19"/>
      <c r="K19"/>
      <c r="N19"/>
    </row>
    <row r="20" spans="2:17" s="6" customFormat="1" x14ac:dyDescent="0.25">
      <c r="B20" s="30"/>
      <c r="C20" s="23" t="s">
        <v>63</v>
      </c>
      <c r="D20" s="23" t="s">
        <v>28</v>
      </c>
      <c r="E20" s="23" t="s">
        <v>92</v>
      </c>
      <c r="F20" s="23" t="s">
        <v>62</v>
      </c>
      <c r="G20" s="2" t="s">
        <v>61</v>
      </c>
      <c r="H20" s="48" t="s">
        <v>95</v>
      </c>
      <c r="I20"/>
      <c r="J20"/>
      <c r="K20"/>
      <c r="N20"/>
    </row>
    <row r="21" spans="2:17" s="6" customFormat="1" x14ac:dyDescent="0.25">
      <c r="B21" s="23" t="s">
        <v>6</v>
      </c>
      <c r="C21" s="23" t="s">
        <v>60</v>
      </c>
      <c r="D21" s="23" t="s">
        <v>25</v>
      </c>
      <c r="E21" s="23" t="s">
        <v>21</v>
      </c>
      <c r="F21" s="23" t="s">
        <v>21</v>
      </c>
      <c r="G21" s="23" t="s">
        <v>20</v>
      </c>
      <c r="H21" s="48" t="s">
        <v>18</v>
      </c>
      <c r="I21"/>
      <c r="J21"/>
      <c r="K21"/>
      <c r="L21"/>
      <c r="M21"/>
      <c r="N21"/>
    </row>
    <row r="22" spans="2:17" s="6" customFormat="1" x14ac:dyDescent="0.25">
      <c r="B22" s="23">
        <v>1</v>
      </c>
      <c r="C22" s="5">
        <v>12</v>
      </c>
      <c r="D22" s="5">
        <v>0.187</v>
      </c>
      <c r="E22" s="28">
        <v>388</v>
      </c>
      <c r="F22" s="21">
        <f t="shared" ref="F22:F27" si="0">E22</f>
        <v>388</v>
      </c>
      <c r="G22" s="21">
        <f t="shared" ref="G22:G27" si="1">PI()*F22/30</f>
        <v>40.631264986427986</v>
      </c>
      <c r="H22" s="49">
        <f t="shared" ref="H22:H27" si="2">D22*$C$13</f>
        <v>4.4717310000000003E-2</v>
      </c>
      <c r="I22"/>
      <c r="J22"/>
      <c r="K22"/>
      <c r="L22"/>
      <c r="M22"/>
      <c r="N22"/>
    </row>
    <row r="23" spans="2:17" s="6" customFormat="1" x14ac:dyDescent="0.25">
      <c r="B23" s="23">
        <v>2</v>
      </c>
      <c r="C23" s="5"/>
      <c r="D23" s="5">
        <v>0.18</v>
      </c>
      <c r="E23" s="28">
        <v>355</v>
      </c>
      <c r="F23" s="47">
        <f t="shared" si="0"/>
        <v>355</v>
      </c>
      <c r="G23" s="52">
        <f t="shared" si="1"/>
        <v>37.175513067479216</v>
      </c>
      <c r="H23" s="49">
        <f t="shared" si="2"/>
        <v>4.3043400000000002E-2</v>
      </c>
      <c r="M23"/>
      <c r="N23"/>
    </row>
    <row r="24" spans="2:17" s="6" customFormat="1" x14ac:dyDescent="0.25">
      <c r="B24" s="23">
        <v>3</v>
      </c>
      <c r="C24" s="5"/>
      <c r="D24" s="5">
        <v>0.17499999999999999</v>
      </c>
      <c r="E24" s="28">
        <v>320</v>
      </c>
      <c r="F24" s="52">
        <f t="shared" si="0"/>
        <v>320</v>
      </c>
      <c r="G24" s="52">
        <f t="shared" si="1"/>
        <v>33.510321638291124</v>
      </c>
      <c r="H24" s="52">
        <f t="shared" si="2"/>
        <v>4.1847749999999996E-2</v>
      </c>
      <c r="M24"/>
      <c r="N24"/>
    </row>
    <row r="25" spans="2:17" s="6" customFormat="1" x14ac:dyDescent="0.25">
      <c r="B25" s="23">
        <v>4</v>
      </c>
      <c r="C25" s="5"/>
      <c r="D25" s="5">
        <v>0.16300000000000001</v>
      </c>
      <c r="E25" s="28">
        <v>234</v>
      </c>
      <c r="F25" s="52">
        <f t="shared" si="0"/>
        <v>234</v>
      </c>
      <c r="G25" s="52">
        <f t="shared" si="1"/>
        <v>24.504422698000386</v>
      </c>
      <c r="H25" s="52">
        <f t="shared" si="2"/>
        <v>3.8978190000000003E-2</v>
      </c>
    </row>
    <row r="26" spans="2:17" s="6" customFormat="1" x14ac:dyDescent="0.25">
      <c r="B26" s="23">
        <v>5</v>
      </c>
      <c r="C26" s="5"/>
      <c r="D26" s="5">
        <v>0.158</v>
      </c>
      <c r="E26" s="28">
        <v>205</v>
      </c>
      <c r="F26" s="47">
        <f t="shared" si="0"/>
        <v>205</v>
      </c>
      <c r="G26" s="52">
        <f t="shared" si="1"/>
        <v>21.467549799530254</v>
      </c>
      <c r="H26" s="49">
        <f t="shared" si="2"/>
        <v>3.7782540000000003E-2</v>
      </c>
    </row>
    <row r="27" spans="2:17" s="6" customFormat="1" x14ac:dyDescent="0.25">
      <c r="B27" s="23">
        <v>6</v>
      </c>
      <c r="C27" s="5"/>
      <c r="D27" s="5">
        <v>0.151</v>
      </c>
      <c r="E27" s="28">
        <v>167</v>
      </c>
      <c r="F27" s="47">
        <f t="shared" si="0"/>
        <v>167</v>
      </c>
      <c r="G27" s="52">
        <f t="shared" si="1"/>
        <v>17.488199104983185</v>
      </c>
      <c r="H27" s="49">
        <f t="shared" si="2"/>
        <v>3.6108630000000003E-2</v>
      </c>
      <c r="P27"/>
      <c r="Q27"/>
    </row>
    <row r="28" spans="2:17" x14ac:dyDescent="0.25">
      <c r="F28" s="30"/>
      <c r="G28" s="30"/>
      <c r="H28" s="30"/>
      <c r="I28" s="30"/>
      <c r="J28" s="30"/>
      <c r="K28" s="30"/>
      <c r="L28" s="30"/>
      <c r="M28" s="30"/>
      <c r="N28" s="30"/>
      <c r="O28" s="11"/>
      <c r="P28" s="30"/>
      <c r="Q28" s="30"/>
    </row>
    <row r="29" spans="2:17" ht="15" customHeight="1" x14ac:dyDescent="0.25">
      <c r="F29" s="30"/>
      <c r="G29" s="30"/>
      <c r="H29" s="30"/>
      <c r="I29" s="30"/>
      <c r="J29" s="30"/>
      <c r="K29" s="30"/>
      <c r="L29" s="30"/>
      <c r="M29" s="30"/>
      <c r="N29" s="30"/>
      <c r="O29" s="30"/>
      <c r="P29" s="30"/>
      <c r="Q29" s="30"/>
    </row>
    <row r="30" spans="2:17" x14ac:dyDescent="0.25">
      <c r="B30" s="50" t="s">
        <v>105</v>
      </c>
      <c r="C30" s="32" t="s">
        <v>56</v>
      </c>
      <c r="D30" s="58">
        <f>K31</f>
        <v>3.562819393434501E-4</v>
      </c>
      <c r="F30" s="30"/>
      <c r="K30" s="23" t="s">
        <v>59</v>
      </c>
      <c r="L30" s="23" t="s">
        <v>58</v>
      </c>
    </row>
    <row r="31" spans="2:17" x14ac:dyDescent="0.25">
      <c r="B31" s="32"/>
      <c r="C31" s="32" t="s">
        <v>57</v>
      </c>
      <c r="D31" s="59">
        <f>L31</f>
        <v>3.0034639138327275E-2</v>
      </c>
      <c r="F31" s="30"/>
      <c r="K31" s="29">
        <f>SLOPE(H22:H27,G22:G27)</f>
        <v>3.562819393434501E-4</v>
      </c>
      <c r="L31" s="29">
        <f>INTERCEPT(H22:H27,G22:G27)</f>
        <v>3.0034639138327275E-2</v>
      </c>
    </row>
    <row r="32" spans="2:17" x14ac:dyDescent="0.25">
      <c r="F32" s="30"/>
      <c r="G32" s="30"/>
    </row>
    <row r="33" spans="2:12" x14ac:dyDescent="0.25">
      <c r="B33" s="50" t="s">
        <v>111</v>
      </c>
      <c r="C33" s="64" t="s">
        <v>56</v>
      </c>
      <c r="D33" s="65">
        <f>K31-C15</f>
        <v>2.7250331903908015E-4</v>
      </c>
      <c r="E33" t="s">
        <v>109</v>
      </c>
      <c r="F33" s="30"/>
      <c r="G33" s="30"/>
    </row>
    <row r="34" spans="2:12" x14ac:dyDescent="0.25">
      <c r="B34" s="32"/>
      <c r="C34" s="32" t="s">
        <v>57</v>
      </c>
      <c r="D34" s="59">
        <f>L31-C14</f>
        <v>1.7644639138327277E-2</v>
      </c>
      <c r="F34" s="30"/>
      <c r="G34" s="30"/>
    </row>
    <row r="36" spans="2:12" x14ac:dyDescent="0.25">
      <c r="H36" s="30"/>
    </row>
    <row r="37" spans="2:12" x14ac:dyDescent="0.25">
      <c r="B37" s="102" t="s">
        <v>98</v>
      </c>
      <c r="C37" s="102"/>
      <c r="D37" s="102"/>
      <c r="E37" s="102"/>
      <c r="F37" s="102"/>
      <c r="H37" s="30"/>
      <c r="I37" s="30"/>
      <c r="J37" s="30"/>
      <c r="K37" s="30"/>
      <c r="L37" s="30"/>
    </row>
    <row r="38" spans="2:12" x14ac:dyDescent="0.25">
      <c r="B38" s="98" t="s">
        <v>99</v>
      </c>
      <c r="C38" s="54" t="s">
        <v>92</v>
      </c>
      <c r="D38" s="53">
        <v>395</v>
      </c>
      <c r="E38" s="53" t="s">
        <v>21</v>
      </c>
      <c r="I38" s="30"/>
      <c r="J38" s="30"/>
      <c r="K38" s="30"/>
      <c r="L38" s="30"/>
    </row>
    <row r="39" spans="2:12" x14ac:dyDescent="0.25">
      <c r="B39" s="107"/>
      <c r="C39" s="56" t="s">
        <v>57</v>
      </c>
      <c r="D39" s="50">
        <f>D31</f>
        <v>3.0034639138327275E-2</v>
      </c>
      <c r="E39" s="50" t="s">
        <v>100</v>
      </c>
      <c r="F39" s="33"/>
    </row>
    <row r="40" spans="2:12" x14ac:dyDescent="0.25">
      <c r="B40" s="107"/>
      <c r="C40" s="56" t="s">
        <v>56</v>
      </c>
      <c r="D40" s="50">
        <f>D30</f>
        <v>3.562819393434501E-4</v>
      </c>
      <c r="E40" s="50" t="s">
        <v>101</v>
      </c>
      <c r="G40" s="60"/>
      <c r="K40" s="30"/>
    </row>
    <row r="41" spans="2:12" x14ac:dyDescent="0.25">
      <c r="B41" s="107"/>
      <c r="C41" s="32" t="s">
        <v>102</v>
      </c>
      <c r="D41" s="53">
        <v>0.26</v>
      </c>
      <c r="E41" s="53" t="s">
        <v>83</v>
      </c>
    </row>
    <row r="42" spans="2:12" x14ac:dyDescent="0.25">
      <c r="B42" s="99"/>
      <c r="C42" s="32" t="s">
        <v>103</v>
      </c>
      <c r="D42" s="50">
        <f>(D40*D41)/LN((D40*PI()*D38/30+D39)/D39)</f>
        <v>2.3202908039254185E-4</v>
      </c>
      <c r="E42" s="50" t="s">
        <v>15</v>
      </c>
    </row>
    <row r="44" spans="2:12" x14ac:dyDescent="0.25">
      <c r="B44" s="106" t="s">
        <v>106</v>
      </c>
      <c r="C44" s="106"/>
      <c r="D44" s="106"/>
      <c r="E44" s="106"/>
      <c r="F44" s="106"/>
    </row>
    <row r="45" spans="2:12" x14ac:dyDescent="0.25">
      <c r="B45" s="103" t="s">
        <v>107</v>
      </c>
      <c r="C45" s="104"/>
      <c r="D45" s="105"/>
      <c r="E45" s="53">
        <f>C16</f>
        <v>2.2358799999999999E-4</v>
      </c>
      <c r="F45" s="57" t="s">
        <v>15</v>
      </c>
    </row>
    <row r="46" spans="2:12" x14ac:dyDescent="0.25">
      <c r="B46" s="103" t="s">
        <v>108</v>
      </c>
      <c r="C46" s="104"/>
      <c r="D46" s="105"/>
      <c r="E46" s="61">
        <f>D42-E45</f>
        <v>8.4410803925418626E-6</v>
      </c>
      <c r="F46" s="55" t="s">
        <v>15</v>
      </c>
    </row>
    <row r="49" spans="2:17" s="6" customFormat="1" x14ac:dyDescent="0.25">
      <c r="C49" s="90" t="s">
        <v>64</v>
      </c>
      <c r="D49" s="90"/>
      <c r="E49" s="90"/>
      <c r="F49" s="90"/>
      <c r="G49" s="90"/>
      <c r="H49" s="90"/>
      <c r="I49"/>
      <c r="J49"/>
      <c r="K49"/>
      <c r="N49"/>
    </row>
    <row r="50" spans="2:17" s="6" customFormat="1" x14ac:dyDescent="0.25">
      <c r="B50" s="30"/>
      <c r="C50" s="51" t="s">
        <v>63</v>
      </c>
      <c r="D50" s="51" t="s">
        <v>28</v>
      </c>
      <c r="E50" s="51" t="s">
        <v>92</v>
      </c>
      <c r="F50" s="51" t="s">
        <v>62</v>
      </c>
      <c r="G50" s="2" t="s">
        <v>61</v>
      </c>
      <c r="H50" s="51" t="s">
        <v>95</v>
      </c>
      <c r="I50"/>
      <c r="J50"/>
      <c r="K50"/>
      <c r="N50"/>
    </row>
    <row r="51" spans="2:17" s="6" customFormat="1" x14ac:dyDescent="0.25">
      <c r="B51" s="51" t="s">
        <v>6</v>
      </c>
      <c r="C51" s="51" t="s">
        <v>60</v>
      </c>
      <c r="D51" s="51" t="s">
        <v>25</v>
      </c>
      <c r="E51" s="51" t="s">
        <v>21</v>
      </c>
      <c r="F51" s="51" t="s">
        <v>21</v>
      </c>
      <c r="G51" s="51" t="s">
        <v>20</v>
      </c>
      <c r="H51" s="51" t="s">
        <v>18</v>
      </c>
      <c r="I51"/>
      <c r="J51"/>
      <c r="K51"/>
      <c r="L51"/>
      <c r="M51"/>
      <c r="N51"/>
    </row>
    <row r="52" spans="2:17" s="6" customFormat="1" x14ac:dyDescent="0.25">
      <c r="B52" s="51">
        <v>1</v>
      </c>
      <c r="C52" s="5"/>
      <c r="D52" s="5">
        <v>0.66</v>
      </c>
      <c r="E52" s="28">
        <v>57</v>
      </c>
      <c r="F52" s="52">
        <f t="shared" ref="F52:F57" si="3">E52</f>
        <v>57</v>
      </c>
      <c r="G52" s="52">
        <f t="shared" ref="G52:G57" si="4">PI()*F52/30</f>
        <v>5.9690260418206069</v>
      </c>
      <c r="H52" s="52">
        <f t="shared" ref="H52:H57" si="5">D52*$C$13</f>
        <v>0.15782580000000002</v>
      </c>
      <c r="I52"/>
      <c r="J52"/>
      <c r="K52"/>
      <c r="L52"/>
      <c r="M52"/>
      <c r="N52"/>
    </row>
    <row r="53" spans="2:17" s="6" customFormat="1" x14ac:dyDescent="0.25">
      <c r="B53" s="51">
        <v>2</v>
      </c>
      <c r="C53" s="5"/>
      <c r="D53" s="5">
        <v>0.61</v>
      </c>
      <c r="E53" s="28">
        <v>42</v>
      </c>
      <c r="F53" s="52">
        <f t="shared" si="3"/>
        <v>42</v>
      </c>
      <c r="G53" s="52">
        <f t="shared" si="4"/>
        <v>4.3982297150257104</v>
      </c>
      <c r="H53" s="52">
        <f t="shared" si="5"/>
        <v>0.14586930000000001</v>
      </c>
      <c r="M53"/>
      <c r="N53"/>
    </row>
    <row r="54" spans="2:17" s="6" customFormat="1" x14ac:dyDescent="0.25">
      <c r="B54" s="51">
        <v>3</v>
      </c>
      <c r="C54" s="5"/>
      <c r="D54" s="5">
        <v>0.56000000000000005</v>
      </c>
      <c r="E54" s="28">
        <v>33</v>
      </c>
      <c r="F54" s="52">
        <f t="shared" si="3"/>
        <v>33</v>
      </c>
      <c r="G54" s="52">
        <f t="shared" si="4"/>
        <v>3.4557519189487724</v>
      </c>
      <c r="H54" s="52">
        <f t="shared" si="5"/>
        <v>0.13391280000000003</v>
      </c>
      <c r="M54"/>
      <c r="N54"/>
    </row>
    <row r="55" spans="2:17" s="6" customFormat="1" x14ac:dyDescent="0.25">
      <c r="B55" s="51">
        <v>4</v>
      </c>
      <c r="C55" s="5"/>
      <c r="D55" s="5"/>
      <c r="E55" s="28"/>
      <c r="F55" s="52">
        <f t="shared" si="3"/>
        <v>0</v>
      </c>
      <c r="G55" s="52">
        <f t="shared" si="4"/>
        <v>0</v>
      </c>
      <c r="H55" s="52">
        <f t="shared" si="5"/>
        <v>0</v>
      </c>
    </row>
    <row r="56" spans="2:17" s="6" customFormat="1" x14ac:dyDescent="0.25">
      <c r="B56" s="51">
        <v>5</v>
      </c>
      <c r="C56" s="5"/>
      <c r="D56" s="5"/>
      <c r="E56" s="28"/>
      <c r="F56" s="52">
        <f t="shared" si="3"/>
        <v>0</v>
      </c>
      <c r="G56" s="52">
        <f t="shared" si="4"/>
        <v>0</v>
      </c>
      <c r="H56" s="52">
        <f t="shared" si="5"/>
        <v>0</v>
      </c>
    </row>
    <row r="57" spans="2:17" s="6" customFormat="1" x14ac:dyDescent="0.25">
      <c r="B57" s="51">
        <v>6</v>
      </c>
      <c r="C57" s="5"/>
      <c r="D57" s="5"/>
      <c r="E57" s="28"/>
      <c r="F57" s="52">
        <f t="shared" si="3"/>
        <v>0</v>
      </c>
      <c r="G57" s="52">
        <f t="shared" si="4"/>
        <v>0</v>
      </c>
      <c r="H57" s="52">
        <f t="shared" si="5"/>
        <v>0</v>
      </c>
      <c r="P57"/>
      <c r="Q57"/>
    </row>
    <row r="60" spans="2:17" x14ac:dyDescent="0.25">
      <c r="B60" s="50" t="s">
        <v>110</v>
      </c>
      <c r="C60" s="32" t="s">
        <v>56</v>
      </c>
      <c r="D60" s="58">
        <f>J63-C15</f>
        <v>9.2367246143645904E-3</v>
      </c>
    </row>
    <row r="61" spans="2:17" x14ac:dyDescent="0.25">
      <c r="B61" s="32"/>
      <c r="C61" s="64" t="s">
        <v>57</v>
      </c>
      <c r="D61" s="66">
        <f>K63-C14</f>
        <v>9.0533504081632674E-2</v>
      </c>
    </row>
    <row r="62" spans="2:17" x14ac:dyDescent="0.25">
      <c r="J62" s="51" t="s">
        <v>59</v>
      </c>
      <c r="K62" s="51" t="s">
        <v>58</v>
      </c>
    </row>
    <row r="63" spans="2:17" x14ac:dyDescent="0.25">
      <c r="J63" s="29">
        <f>SLOPE(H52:H54,G52:G54)</f>
        <v>9.3205032346689604E-3</v>
      </c>
      <c r="K63" s="29">
        <f>INTERCEPT(H52:H54,G52:G54)</f>
        <v>0.10292350408163267</v>
      </c>
    </row>
    <row r="66" spans="2:3" x14ac:dyDescent="0.25">
      <c r="B66" s="50" t="s">
        <v>104</v>
      </c>
      <c r="C66" s="32" t="s">
        <v>56</v>
      </c>
    </row>
    <row r="67" spans="2:3" x14ac:dyDescent="0.25">
      <c r="B67" s="32"/>
      <c r="C67" s="32" t="s">
        <v>57</v>
      </c>
    </row>
  </sheetData>
  <mergeCells count="10">
    <mergeCell ref="B45:D45"/>
    <mergeCell ref="B44:F44"/>
    <mergeCell ref="B46:D46"/>
    <mergeCell ref="C49:H49"/>
    <mergeCell ref="B38:B42"/>
    <mergeCell ref="B2:F9"/>
    <mergeCell ref="B11:D11"/>
    <mergeCell ref="B12:D12"/>
    <mergeCell ref="C19:H19"/>
    <mergeCell ref="B37:F37"/>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7EF15-22DD-43B7-996C-1A04ADBEDDD0}">
  <dimension ref="A1:Q38"/>
  <sheetViews>
    <sheetView zoomScale="85" zoomScaleNormal="85" workbookViewId="0">
      <selection activeCell="M41" sqref="M41"/>
    </sheetView>
  </sheetViews>
  <sheetFormatPr baseColWidth="10" defaultRowHeight="15" x14ac:dyDescent="0.25"/>
  <cols>
    <col min="3" max="3" width="19.28515625" bestFit="1" customWidth="1"/>
    <col min="4" max="4" width="20" customWidth="1"/>
    <col min="5" max="5" width="21.42578125" bestFit="1" customWidth="1"/>
    <col min="6" max="6" width="16.85546875" bestFit="1" customWidth="1"/>
    <col min="7" max="7" width="15.85546875" bestFit="1" customWidth="1"/>
    <col min="8" max="8" width="12.28515625" bestFit="1" customWidth="1"/>
  </cols>
  <sheetData>
    <row r="1" spans="2:11" ht="15.75" thickBot="1" x14ac:dyDescent="0.3"/>
    <row r="2" spans="2:11" x14ac:dyDescent="0.25">
      <c r="B2" s="73" t="s">
        <v>97</v>
      </c>
      <c r="C2" s="74"/>
      <c r="D2" s="74"/>
      <c r="E2" s="74"/>
      <c r="F2" s="75"/>
    </row>
    <row r="3" spans="2:11" x14ac:dyDescent="0.25">
      <c r="B3" s="76"/>
      <c r="C3" s="77"/>
      <c r="D3" s="77"/>
      <c r="E3" s="77"/>
      <c r="F3" s="78"/>
    </row>
    <row r="4" spans="2:11" x14ac:dyDescent="0.25">
      <c r="B4" s="76"/>
      <c r="C4" s="77"/>
      <c r="D4" s="77"/>
      <c r="E4" s="77"/>
      <c r="F4" s="78"/>
    </row>
    <row r="5" spans="2:11" x14ac:dyDescent="0.25">
      <c r="B5" s="76"/>
      <c r="C5" s="77"/>
      <c r="D5" s="77"/>
      <c r="E5" s="77"/>
      <c r="F5" s="78"/>
    </row>
    <row r="6" spans="2:11" x14ac:dyDescent="0.25">
      <c r="B6" s="76"/>
      <c r="C6" s="77"/>
      <c r="D6" s="77"/>
      <c r="E6" s="77"/>
      <c r="F6" s="78"/>
    </row>
    <row r="7" spans="2:11" x14ac:dyDescent="0.25">
      <c r="B7" s="76"/>
      <c r="C7" s="77"/>
      <c r="D7" s="77"/>
      <c r="E7" s="77"/>
      <c r="F7" s="78"/>
    </row>
    <row r="8" spans="2:11" x14ac:dyDescent="0.25">
      <c r="B8" s="76"/>
      <c r="C8" s="77"/>
      <c r="D8" s="77"/>
      <c r="E8" s="77"/>
      <c r="F8" s="78"/>
    </row>
    <row r="9" spans="2:11" x14ac:dyDescent="0.25">
      <c r="B9" s="76"/>
      <c r="C9" s="77"/>
      <c r="D9" s="77"/>
      <c r="E9" s="77"/>
      <c r="F9" s="78"/>
    </row>
    <row r="10" spans="2:11" x14ac:dyDescent="0.25">
      <c r="B10" s="76"/>
      <c r="C10" s="77"/>
      <c r="D10" s="77"/>
      <c r="E10" s="77"/>
      <c r="F10" s="78"/>
    </row>
    <row r="11" spans="2:11" ht="15.75" thickBot="1" x14ac:dyDescent="0.3">
      <c r="B11" s="79"/>
      <c r="C11" s="80"/>
      <c r="D11" s="80"/>
      <c r="E11" s="80"/>
      <c r="F11" s="81"/>
      <c r="H11" s="6"/>
      <c r="I11" s="6"/>
      <c r="J11" s="6"/>
      <c r="K11" s="6"/>
    </row>
    <row r="12" spans="2:11" s="6" customFormat="1" x14ac:dyDescent="0.25"/>
    <row r="13" spans="2:11" s="6" customFormat="1" x14ac:dyDescent="0.25">
      <c r="C13" s="95" t="s">
        <v>26</v>
      </c>
      <c r="D13" s="95"/>
      <c r="E13" s="95"/>
      <c r="F13" s="95"/>
      <c r="G13" s="95"/>
      <c r="H13" s="95"/>
    </row>
    <row r="14" spans="2:11" s="6" customFormat="1" x14ac:dyDescent="0.25">
      <c r="C14" s="34" t="s">
        <v>7</v>
      </c>
      <c r="D14" s="34" t="s">
        <v>8</v>
      </c>
      <c r="E14" s="34" t="s">
        <v>23</v>
      </c>
      <c r="F14" s="20" t="s">
        <v>56</v>
      </c>
      <c r="G14" s="20" t="s">
        <v>57</v>
      </c>
      <c r="H14" s="23" t="s">
        <v>68</v>
      </c>
    </row>
    <row r="15" spans="2:11" s="6" customFormat="1" x14ac:dyDescent="0.25">
      <c r="C15" s="2" t="s">
        <v>13</v>
      </c>
      <c r="D15" s="23" t="s">
        <v>9</v>
      </c>
      <c r="E15" s="23" t="s">
        <v>24</v>
      </c>
      <c r="F15" s="22" t="s">
        <v>55</v>
      </c>
      <c r="G15" s="22" t="s">
        <v>18</v>
      </c>
      <c r="H15" s="23" t="s">
        <v>15</v>
      </c>
    </row>
    <row r="16" spans="2:11" s="6" customFormat="1" x14ac:dyDescent="0.25">
      <c r="C16" s="16">
        <f>'Détermination de R et L'!C25</f>
        <v>29.333333333333329</v>
      </c>
      <c r="D16" s="17">
        <f>'Détermination de R et L'!D25/1000</f>
        <v>5.1575833333333321E-2</v>
      </c>
      <c r="E16" s="18">
        <f>'Détermination de k (méca) et Cm'!D29</f>
        <v>0.85254009079229143</v>
      </c>
      <c r="F16" s="62">
        <f>'Détermination de f et Cfs'!D60</f>
        <v>9.2367246143645904E-3</v>
      </c>
      <c r="G16" s="38">
        <f>'Détermination de f et Cfs'!D34</f>
        <v>1.7644639138327277E-2</v>
      </c>
      <c r="H16" s="63">
        <f>'Détermination de f et Cfs'!E46</f>
        <v>8.4410803925418626E-6</v>
      </c>
    </row>
    <row r="17" spans="1:17" s="6" customFormat="1" x14ac:dyDescent="0.25">
      <c r="A17" s="72" t="s">
        <v>44</v>
      </c>
      <c r="B17" s="72"/>
      <c r="C17" s="9">
        <f>'Données constructeur'!F13</f>
        <v>30</v>
      </c>
      <c r="D17" s="9">
        <f>'Données constructeur'!E13</f>
        <v>5.8000000000000003E-2</v>
      </c>
      <c r="E17" s="10">
        <f>'Données constructeur'!L13</f>
        <v>0.70710678118654746</v>
      </c>
      <c r="H17" s="9">
        <f>'Données constructeur'!H13</f>
        <v>5.4E-6</v>
      </c>
      <c r="Q17" s="15"/>
    </row>
    <row r="18" spans="1:17" s="6" customFormat="1" x14ac:dyDescent="0.25"/>
    <row r="19" spans="1:17" s="6" customFormat="1" x14ac:dyDescent="0.25">
      <c r="C19" s="95" t="s">
        <v>27</v>
      </c>
      <c r="D19" s="95"/>
      <c r="E19" s="95"/>
      <c r="F19" s="95"/>
    </row>
    <row r="20" spans="1:17" s="6" customFormat="1" x14ac:dyDescent="0.25">
      <c r="C20" s="41" t="s">
        <v>29</v>
      </c>
      <c r="D20" s="108" t="s">
        <v>72</v>
      </c>
      <c r="E20" s="98" t="s">
        <v>89</v>
      </c>
      <c r="F20" s="98" t="s">
        <v>90</v>
      </c>
    </row>
    <row r="21" spans="1:17" s="6" customFormat="1" x14ac:dyDescent="0.25">
      <c r="C21" s="41" t="s">
        <v>28</v>
      </c>
      <c r="D21" s="109"/>
      <c r="E21" s="99"/>
      <c r="F21" s="99"/>
      <c r="I21"/>
      <c r="J21"/>
      <c r="K21"/>
    </row>
    <row r="22" spans="1:17" s="6" customFormat="1" x14ac:dyDescent="0.25">
      <c r="C22" s="41" t="s">
        <v>25</v>
      </c>
      <c r="D22" s="39" t="s">
        <v>82</v>
      </c>
      <c r="E22" s="41" t="s">
        <v>88</v>
      </c>
      <c r="F22" s="34" t="s">
        <v>83</v>
      </c>
      <c r="H22"/>
      <c r="I22"/>
      <c r="J22"/>
      <c r="K22"/>
    </row>
    <row r="23" spans="1:17" s="6" customFormat="1" x14ac:dyDescent="0.25">
      <c r="C23" s="40">
        <f>'Détermination de k (méca) et Cm'!C14</f>
        <v>0.35249999999999998</v>
      </c>
      <c r="D23" s="28">
        <v>20</v>
      </c>
      <c r="E23" s="5">
        <v>34</v>
      </c>
      <c r="F23" s="44">
        <f>(D23*E23/1000)</f>
        <v>0.68</v>
      </c>
      <c r="H23"/>
      <c r="I23"/>
      <c r="J23"/>
      <c r="K23"/>
    </row>
    <row r="24" spans="1:17" s="6" customFormat="1" x14ac:dyDescent="0.25">
      <c r="A24" s="72" t="s">
        <v>44</v>
      </c>
      <c r="B24" s="72"/>
      <c r="C24" s="9">
        <f>'Données constructeur'!K13</f>
        <v>0.4</v>
      </c>
      <c r="D24" s="45"/>
      <c r="E24" s="45"/>
      <c r="F24" s="45"/>
      <c r="H24"/>
      <c r="I24"/>
      <c r="J24"/>
      <c r="K24"/>
    </row>
    <row r="25" spans="1:17" s="6" customFormat="1" x14ac:dyDescent="0.25">
      <c r="H25"/>
      <c r="I25"/>
      <c r="J25"/>
      <c r="K25"/>
    </row>
    <row r="26" spans="1:17" s="6" customFormat="1" x14ac:dyDescent="0.25">
      <c r="H26"/>
      <c r="I26"/>
      <c r="J26"/>
      <c r="K26"/>
    </row>
    <row r="27" spans="1:17" s="6" customFormat="1" x14ac:dyDescent="0.25">
      <c r="H27"/>
      <c r="I27"/>
      <c r="J27"/>
      <c r="K27"/>
    </row>
    <row r="28" spans="1:17" s="6" customFormat="1" x14ac:dyDescent="0.25">
      <c r="C28" s="95" t="s">
        <v>35</v>
      </c>
      <c r="D28" s="95"/>
      <c r="H28"/>
      <c r="I28"/>
      <c r="J28"/>
      <c r="K28"/>
    </row>
    <row r="29" spans="1:17" s="6" customFormat="1" x14ac:dyDescent="0.25">
      <c r="C29" s="69" t="s">
        <v>73</v>
      </c>
      <c r="D29" s="70"/>
      <c r="H29"/>
      <c r="I29"/>
      <c r="J29"/>
      <c r="K29"/>
    </row>
    <row r="30" spans="1:17" s="6" customFormat="1" x14ac:dyDescent="0.25">
      <c r="C30" s="46" t="s">
        <v>18</v>
      </c>
      <c r="D30" s="46" t="s">
        <v>87</v>
      </c>
      <c r="H30"/>
      <c r="I30"/>
      <c r="J30"/>
      <c r="K30"/>
    </row>
    <row r="31" spans="1:17" x14ac:dyDescent="0.25">
      <c r="C31" s="5">
        <v>0.32450000000000001</v>
      </c>
      <c r="D31" s="44">
        <f>C31/10*100</f>
        <v>3.2450000000000001</v>
      </c>
    </row>
    <row r="35" spans="3:7" x14ac:dyDescent="0.25">
      <c r="C35" s="95" t="s">
        <v>74</v>
      </c>
      <c r="D35" s="95"/>
    </row>
    <row r="36" spans="3:7" x14ac:dyDescent="0.25">
      <c r="C36" s="23" t="s">
        <v>75</v>
      </c>
      <c r="D36" s="23" t="s">
        <v>76</v>
      </c>
      <c r="E36" s="23" t="s">
        <v>79</v>
      </c>
      <c r="F36" s="23" t="s">
        <v>73</v>
      </c>
      <c r="G36" s="23" t="s">
        <v>36</v>
      </c>
    </row>
    <row r="37" spans="3:7" x14ac:dyDescent="0.25">
      <c r="C37" s="23" t="s">
        <v>77</v>
      </c>
      <c r="D37" s="23" t="s">
        <v>42</v>
      </c>
      <c r="E37" s="23" t="s">
        <v>80</v>
      </c>
      <c r="F37" s="23" t="s">
        <v>18</v>
      </c>
      <c r="G37" s="23" t="s">
        <v>78</v>
      </c>
    </row>
    <row r="38" spans="3:7" x14ac:dyDescent="0.25">
      <c r="C38" s="5">
        <v>58</v>
      </c>
      <c r="D38" s="5">
        <v>0.2</v>
      </c>
      <c r="E38" s="21">
        <v>0.2</v>
      </c>
      <c r="F38" s="21">
        <f>SIN(RADIANS(C38))*D38*9.81*E38</f>
        <v>0.33277407293178163</v>
      </c>
      <c r="G38" s="14">
        <f>ABS(C31-F38)/F38</f>
        <v>2.4863935038225753E-2</v>
      </c>
    </row>
  </sheetData>
  <mergeCells count="11">
    <mergeCell ref="C35:D35"/>
    <mergeCell ref="C13:H13"/>
    <mergeCell ref="B2:F11"/>
    <mergeCell ref="A17:B17"/>
    <mergeCell ref="A24:B24"/>
    <mergeCell ref="C28:D28"/>
    <mergeCell ref="C19:F19"/>
    <mergeCell ref="C29:D29"/>
    <mergeCell ref="D20:D21"/>
    <mergeCell ref="E20:E21"/>
    <mergeCell ref="F20:F2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Données constructeur</vt:lpstr>
      <vt:lpstr>Détermination de R et L</vt:lpstr>
      <vt:lpstr>Détermination de k (méca) et Cm</vt:lpstr>
      <vt:lpstr>Paramétrage et simulation 1</vt:lpstr>
      <vt:lpstr>Détermination de f et Cfs</vt:lpstr>
      <vt:lpstr>Paramétrage et simulation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M6600-TOM</dc:creator>
  <cp:lastModifiedBy>M6600-TOM</cp:lastModifiedBy>
  <dcterms:created xsi:type="dcterms:W3CDTF">2018-11-02T22:59:08Z</dcterms:created>
  <dcterms:modified xsi:type="dcterms:W3CDTF">2019-02-01T14:14:41Z</dcterms:modified>
</cp:coreProperties>
</file>